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rinterSettings/printerSettings1.bin" ContentType="application/vnd.openxmlformats-officedocument.spreadsheetml.printerSettings"/>
  <Override PartName="/xl/printerSettings/printerSettings2.bin" ContentType="application/vnd.openxmlformats-officedocument.spreadsheetml.printerSettings"/>
  <Override PartName="/xl/printerSettings/printerSettings3.bin" ContentType="application/vnd.openxmlformats-officedocument.spreadsheetml.printerSettings"/>
  <Override PartName="/xl/printerSettings/printerSettings4.bin" ContentType="application/vnd.openxmlformats-officedocument.spreadsheetml.printerSettings"/>
  <Override PartName="/xl/printerSettings/printerSettings5.bin" ContentType="application/vnd.openxmlformats-officedocument.spreadsheetml.printerSettings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filterPrivacy="1" codeName="ThisWorkbook"/>
  <xr:revisionPtr revIDLastSave="4" documentId="8_{76C10ADD-2FBB-4814-8899-31D7C3AD8B9F}" xr6:coauthVersionLast="47" xr6:coauthVersionMax="47" xr10:uidLastSave="{C70424D2-93D9-4472-81B4-4D1500B0AA4C}"/>
  <bookViews>
    <workbookView xWindow="28692" yWindow="-108" windowWidth="38616" windowHeight="21216" tabRatio="855" activeTab="2" xr2:uid="{00000000-000D-0000-FFFF-FFFF00000000}"/>
  </bookViews>
  <sheets>
    <sheet name="Okładka | Cover" sheetId="7" r:id="rId1"/>
    <sheet name="Rozwój | Development" sheetId="23" r:id="rId2"/>
    <sheet name="RZiS | P&amp;L" sheetId="1" r:id="rId3"/>
    <sheet name="Segmenty | Segments" sheetId="22" r:id="rId4"/>
    <sheet name="Bilans | Balance sheet" sheetId="19" r:id="rId5"/>
    <sheet name="Przepływy finansowe | Cash flow" sheetId="20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G24" i="22" l="1"/>
  <c r="AG23" i="22"/>
  <c r="AG22" i="22"/>
  <c r="AG21" i="22"/>
  <c r="AG20" i="22"/>
  <c r="AP70" i="23"/>
  <c r="AP30" i="23"/>
  <c r="BB5" i="1"/>
  <c r="AO58" i="23"/>
  <c r="AO30" i="23"/>
  <c r="AO18" i="23"/>
  <c r="AO70" i="23"/>
  <c r="BA10" i="1"/>
  <c r="V57" i="22"/>
  <c r="V56" i="22"/>
  <c r="V55" i="22"/>
  <c r="V54" i="22"/>
  <c r="V53" i="22"/>
  <c r="V52" i="22"/>
  <c r="V51" i="22"/>
  <c r="V49" i="22"/>
  <c r="V48" i="22"/>
  <c r="V47" i="22"/>
  <c r="V46" i="22"/>
  <c r="V45" i="22"/>
  <c r="V44" i="22"/>
  <c r="V43" i="22"/>
  <c r="T51" i="22"/>
  <c r="T43" i="22"/>
  <c r="AW7" i="1"/>
  <c r="AW8" i="1"/>
  <c r="AV5" i="20"/>
  <c r="AV6" i="20"/>
  <c r="AV7" i="20"/>
  <c r="AV8" i="20"/>
  <c r="AV9" i="20"/>
  <c r="AV13" i="20"/>
  <c r="AV14" i="20"/>
  <c r="AV15" i="20"/>
  <c r="AV17" i="20"/>
  <c r="AV18" i="20"/>
  <c r="AV19" i="20"/>
  <c r="AV20" i="20"/>
  <c r="AV22" i="20"/>
  <c r="AV23" i="20"/>
  <c r="AV24" i="20"/>
  <c r="AV25" i="20"/>
  <c r="AV26" i="20"/>
  <c r="AV27" i="20"/>
  <c r="AV28" i="20"/>
  <c r="AV32" i="20"/>
  <c r="AV33" i="20"/>
  <c r="AV34" i="20"/>
  <c r="AV36" i="20"/>
  <c r="AV37" i="20"/>
  <c r="AV39" i="20"/>
  <c r="AV40" i="20"/>
  <c r="AV41" i="20"/>
  <c r="AV42" i="20"/>
  <c r="AV45" i="20"/>
  <c r="AV46" i="20"/>
  <c r="AV47" i="20"/>
  <c r="AV2" i="20"/>
  <c r="AV48" i="20"/>
  <c r="AV44" i="20"/>
  <c r="AV43" i="20"/>
  <c r="AV38" i="20"/>
  <c r="AV35" i="20"/>
  <c r="AV31" i="20"/>
  <c r="AV30" i="20"/>
  <c r="AV29" i="20"/>
  <c r="AV21" i="20"/>
  <c r="AV16" i="20"/>
  <c r="AV12" i="20"/>
  <c r="AV11" i="20"/>
  <c r="AV10" i="20"/>
  <c r="AV4" i="20"/>
  <c r="AV3" i="20"/>
  <c r="AA16" i="22"/>
  <c r="AA53" i="22"/>
  <c r="AA54" i="22"/>
  <c r="AA56" i="22"/>
  <c r="AA57" i="22"/>
  <c r="AA51" i="22"/>
  <c r="AA49" i="22"/>
  <c r="AA43" i="22"/>
  <c r="AA6" i="22"/>
  <c r="AA9" i="22"/>
  <c r="AA10" i="22"/>
  <c r="AA11" i="22"/>
  <c r="AA19" i="22"/>
  <c r="AA13" i="22"/>
  <c r="AA21" i="22"/>
  <c r="AA15" i="22"/>
  <c r="AA17" i="22"/>
  <c r="AA3" i="22"/>
  <c r="AA63" i="22"/>
  <c r="AA65" i="22"/>
  <c r="AA66" i="22"/>
  <c r="AA74" i="22"/>
  <c r="AA75" i="22"/>
  <c r="AA70" i="22"/>
  <c r="AA73" i="22"/>
  <c r="AA72" i="22"/>
  <c r="AA71" i="22"/>
  <c r="AA69" i="22"/>
  <c r="AA64" i="22"/>
  <c r="AA62" i="22"/>
  <c r="AA61" i="22"/>
  <c r="AA60" i="22"/>
  <c r="AA48" i="22"/>
  <c r="AA47" i="22"/>
  <c r="AA46" i="22"/>
  <c r="AA45" i="22"/>
  <c r="AA44" i="22"/>
  <c r="AA55" i="22"/>
  <c r="AA52" i="22"/>
  <c r="AA14" i="22"/>
  <c r="AA22" i="22"/>
  <c r="AA12" i="22"/>
  <c r="AA8" i="22"/>
  <c r="AA7" i="22"/>
  <c r="AA5" i="22"/>
  <c r="AA4" i="22"/>
  <c r="AW6" i="1"/>
  <c r="AW16" i="1"/>
  <c r="AW4" i="1"/>
  <c r="AW5" i="1"/>
  <c r="AW3" i="1"/>
  <c r="AW14" i="1"/>
  <c r="AW13" i="1"/>
  <c r="AW12" i="1"/>
  <c r="AW11" i="1"/>
  <c r="AW9" i="1"/>
  <c r="AA23" i="22"/>
  <c r="AA20" i="22"/>
  <c r="AA24" i="22"/>
  <c r="AW10" i="1"/>
  <c r="AL58" i="23"/>
  <c r="AL8" i="23"/>
  <c r="AL18" i="23" s="1"/>
  <c r="S43" i="22"/>
  <c r="S51" i="22"/>
  <c r="AK13" i="23"/>
  <c r="AK18" i="23"/>
  <c r="AK37" i="23" s="1"/>
  <c r="AP5" i="1"/>
  <c r="AJ82" i="23"/>
  <c r="AU11" i="1"/>
  <c r="AU9" i="1"/>
  <c r="AU10" i="1"/>
  <c r="AU7" i="1"/>
  <c r="AU5" i="1"/>
  <c r="AJ58" i="23"/>
  <c r="AJ18" i="23"/>
  <c r="AJ37" i="23"/>
  <c r="AI18" i="23"/>
  <c r="Q60" i="22"/>
  <c r="AV9" i="1"/>
  <c r="AV10" i="1"/>
  <c r="X20" i="22"/>
  <c r="AI58" i="23"/>
  <c r="AJ70" i="23"/>
  <c r="AJ77" i="23"/>
  <c r="AL30" i="23"/>
  <c r="AJ30" i="23"/>
  <c r="AK70" i="23"/>
  <c r="AI70" i="23"/>
  <c r="AK58" i="23"/>
  <c r="AK77" i="23" s="1"/>
  <c r="AL42" i="23"/>
  <c r="AK42" i="23"/>
  <c r="AJ42" i="23"/>
  <c r="AI42" i="23"/>
  <c r="AK30" i="23"/>
  <c r="AI30" i="23"/>
  <c r="AY9" i="1"/>
  <c r="AY10" i="1"/>
  <c r="AY5" i="1"/>
  <c r="AP10" i="1"/>
  <c r="AO48" i="20"/>
  <c r="AO3" i="20"/>
  <c r="AO4" i="20"/>
  <c r="AO5" i="20"/>
  <c r="AO6" i="20"/>
  <c r="AO7" i="20"/>
  <c r="AO8" i="20"/>
  <c r="AO9" i="20"/>
  <c r="AO10" i="20"/>
  <c r="AO11" i="20"/>
  <c r="AO12" i="20"/>
  <c r="AO13" i="20"/>
  <c r="AO14" i="20"/>
  <c r="AO15" i="20"/>
  <c r="AO16" i="20"/>
  <c r="AO17" i="20"/>
  <c r="AO18" i="20"/>
  <c r="AO19" i="20"/>
  <c r="AO20" i="20"/>
  <c r="AO21" i="20"/>
  <c r="AO22" i="20"/>
  <c r="AO23" i="20"/>
  <c r="AO24" i="20"/>
  <c r="AO25" i="20"/>
  <c r="AO26" i="20"/>
  <c r="AO27" i="20"/>
  <c r="AO28" i="20"/>
  <c r="AO29" i="20"/>
  <c r="AO30" i="20"/>
  <c r="AO31" i="20"/>
  <c r="AO32" i="20"/>
  <c r="AO33" i="20"/>
  <c r="AO34" i="20"/>
  <c r="AO35" i="20"/>
  <c r="AO36" i="20"/>
  <c r="AO37" i="20"/>
  <c r="AO38" i="20"/>
  <c r="AO39" i="20"/>
  <c r="AO40" i="20"/>
  <c r="AO41" i="20"/>
  <c r="AO42" i="20"/>
  <c r="AO43" i="20"/>
  <c r="AO44" i="20"/>
  <c r="AO45" i="20"/>
  <c r="AO46" i="20"/>
  <c r="AO47" i="20"/>
  <c r="AO2" i="20"/>
  <c r="AQ42" i="20"/>
  <c r="M74" i="22"/>
  <c r="M73" i="22"/>
  <c r="M72" i="22"/>
  <c r="M71" i="22"/>
  <c r="M70" i="22"/>
  <c r="M69" i="22"/>
  <c r="O36" i="22"/>
  <c r="O37" i="22"/>
  <c r="O38" i="22"/>
  <c r="O39" i="22"/>
  <c r="O40" i="22"/>
  <c r="O41" i="22"/>
  <c r="M4" i="22"/>
  <c r="M5" i="22"/>
  <c r="M12" i="22"/>
  <c r="M13" i="22"/>
  <c r="T70" i="22"/>
  <c r="T71" i="22"/>
  <c r="T72" i="22"/>
  <c r="T73" i="22"/>
  <c r="T74" i="22"/>
  <c r="T75" i="22"/>
  <c r="T69" i="22"/>
  <c r="T62" i="22"/>
  <c r="T61" i="22"/>
  <c r="T33" i="22"/>
  <c r="T32" i="22"/>
  <c r="T31" i="22"/>
  <c r="T30" i="22"/>
  <c r="T29" i="22"/>
  <c r="T28" i="22"/>
  <c r="T4" i="22"/>
  <c r="T36" i="22"/>
  <c r="T5" i="22"/>
  <c r="T6" i="22"/>
  <c r="T7" i="22"/>
  <c r="T8" i="22"/>
  <c r="T9" i="22"/>
  <c r="T10" i="22"/>
  <c r="T12" i="22"/>
  <c r="T13" i="22"/>
  <c r="T14" i="22"/>
  <c r="T15" i="22"/>
  <c r="T16" i="22"/>
  <c r="T17" i="22"/>
  <c r="T65" i="22"/>
  <c r="T64" i="22"/>
  <c r="T63" i="22"/>
  <c r="T60" i="22"/>
  <c r="V37" i="22"/>
  <c r="V38" i="22"/>
  <c r="V39" i="22"/>
  <c r="V40" i="22"/>
  <c r="V41" i="22"/>
  <c r="V36" i="22"/>
  <c r="V11" i="22"/>
  <c r="V20" i="22"/>
  <c r="V21" i="22"/>
  <c r="V22" i="22"/>
  <c r="V23" i="22"/>
  <c r="V24" i="22"/>
  <c r="V25" i="22"/>
  <c r="V27" i="22"/>
  <c r="T27" i="22"/>
  <c r="V66" i="22"/>
  <c r="T66" i="22"/>
  <c r="T20" i="22"/>
  <c r="T38" i="22"/>
  <c r="T39" i="22"/>
  <c r="T22" i="22"/>
  <c r="T21" i="22"/>
  <c r="T40" i="22"/>
  <c r="T41" i="22"/>
  <c r="T23" i="22"/>
  <c r="T37" i="22"/>
  <c r="T25" i="22"/>
  <c r="T24" i="22"/>
  <c r="T11" i="22"/>
  <c r="AP4" i="1"/>
  <c r="AP6" i="1"/>
  <c r="AP7" i="1"/>
  <c r="AP8" i="1"/>
  <c r="AP11" i="1"/>
  <c r="AP12" i="1"/>
  <c r="AP13" i="1"/>
  <c r="AP14" i="1"/>
  <c r="AP16" i="1"/>
  <c r="AP3" i="1"/>
  <c r="AR10" i="1"/>
  <c r="AR9" i="1"/>
  <c r="AP9" i="1"/>
  <c r="AR5" i="1"/>
  <c r="AR14" i="1"/>
  <c r="AR11" i="1"/>
  <c r="AR7" i="1"/>
  <c r="AR6" i="1"/>
  <c r="AR16" i="1"/>
  <c r="AI4" i="1"/>
  <c r="AI5" i="1"/>
  <c r="AI6" i="1"/>
  <c r="AI7" i="1"/>
  <c r="AI8" i="1"/>
  <c r="AI11" i="1"/>
  <c r="AI12" i="1"/>
  <c r="AI13" i="1"/>
  <c r="AI14" i="1"/>
  <c r="AI16" i="1"/>
  <c r="AI3" i="1"/>
  <c r="AK9" i="1"/>
  <c r="AK10" i="1"/>
  <c r="AI10" i="1"/>
  <c r="AK11" i="1"/>
  <c r="AK7" i="1"/>
  <c r="AK6" i="1"/>
  <c r="AK5" i="1"/>
  <c r="V3" i="22"/>
  <c r="AI9" i="1"/>
  <c r="AN5" i="1"/>
  <c r="T3" i="22"/>
  <c r="V35" i="22"/>
  <c r="V19" i="22"/>
  <c r="S36" i="22"/>
  <c r="S41" i="22"/>
  <c r="S40" i="22"/>
  <c r="S39" i="22"/>
  <c r="S38" i="22"/>
  <c r="S37" i="22"/>
  <c r="S35" i="22"/>
  <c r="AO9" i="1"/>
  <c r="AO10" i="1"/>
  <c r="AO5" i="1"/>
  <c r="AF70" i="23"/>
  <c r="AF58" i="23"/>
  <c r="AF77" i="23" s="1"/>
  <c r="AF42" i="23"/>
  <c r="AF30" i="23"/>
  <c r="AF18" i="23"/>
  <c r="AF37" i="23" s="1"/>
  <c r="Q69" i="22"/>
  <c r="J69" i="22"/>
  <c r="L69" i="22"/>
  <c r="J60" i="22"/>
  <c r="L60" i="22"/>
  <c r="K60" i="22"/>
  <c r="K69" i="22"/>
  <c r="L40" i="22"/>
  <c r="K40" i="22"/>
  <c r="J40" i="22"/>
  <c r="L39" i="22"/>
  <c r="K39" i="22"/>
  <c r="J39" i="22"/>
  <c r="L38" i="22"/>
  <c r="K38" i="22"/>
  <c r="J38" i="22"/>
  <c r="L37" i="22"/>
  <c r="K37" i="22"/>
  <c r="J37" i="22"/>
  <c r="L36" i="22"/>
  <c r="K36" i="22"/>
  <c r="J36" i="22"/>
  <c r="O27" i="22"/>
  <c r="L27" i="22"/>
  <c r="K27" i="22"/>
  <c r="J27" i="22"/>
  <c r="O11" i="22"/>
  <c r="O19" i="22"/>
  <c r="L3" i="22"/>
  <c r="L19" i="22"/>
  <c r="K3" i="22"/>
  <c r="K35" i="22"/>
  <c r="J3" i="22"/>
  <c r="L11" i="22"/>
  <c r="K11" i="22"/>
  <c r="J11" i="22"/>
  <c r="L41" i="22"/>
  <c r="K41" i="22"/>
  <c r="J41" i="22"/>
  <c r="O25" i="22"/>
  <c r="O24" i="22"/>
  <c r="O23" i="22"/>
  <c r="O22" i="22"/>
  <c r="O21" i="22"/>
  <c r="O20" i="22"/>
  <c r="M21" i="22"/>
  <c r="M20" i="22"/>
  <c r="L25" i="22"/>
  <c r="L24" i="22"/>
  <c r="L23" i="22"/>
  <c r="L22" i="22"/>
  <c r="L21" i="22"/>
  <c r="L20" i="22"/>
  <c r="K25" i="22"/>
  <c r="K24" i="22"/>
  <c r="K23" i="22"/>
  <c r="K22" i="22"/>
  <c r="K21" i="22"/>
  <c r="K20" i="22"/>
  <c r="J25" i="22"/>
  <c r="J24" i="22"/>
  <c r="J23" i="22"/>
  <c r="J22" i="22"/>
  <c r="J21" i="22"/>
  <c r="J20" i="22"/>
  <c r="AH16" i="1"/>
  <c r="AG16" i="1"/>
  <c r="AH14" i="1"/>
  <c r="AH12" i="1"/>
  <c r="AH8" i="1"/>
  <c r="AG8" i="1"/>
  <c r="AG12" i="1"/>
  <c r="AG14" i="1"/>
  <c r="AF8" i="1"/>
  <c r="AF12" i="1"/>
  <c r="AF14" i="1"/>
  <c r="AG5" i="1"/>
  <c r="AF5" i="1"/>
  <c r="AF9" i="1"/>
  <c r="AF10" i="1"/>
  <c r="AG9" i="1"/>
  <c r="AG10" i="1"/>
  <c r="AM8" i="1"/>
  <c r="AM12" i="1"/>
  <c r="AM14" i="1"/>
  <c r="R35" i="22"/>
  <c r="R38" i="22"/>
  <c r="R37" i="22"/>
  <c r="R41" i="22"/>
  <c r="R40" i="22"/>
  <c r="R39" i="22"/>
  <c r="R36" i="22"/>
  <c r="AA83" i="23"/>
  <c r="W83" i="23"/>
  <c r="L76" i="23"/>
  <c r="L77" i="23" s="1"/>
  <c r="AD70" i="23"/>
  <c r="AD77" i="23" s="1"/>
  <c r="AB70" i="23"/>
  <c r="AA70" i="23"/>
  <c r="Z70" i="23"/>
  <c r="Y70" i="23"/>
  <c r="W70" i="23"/>
  <c r="V70" i="23"/>
  <c r="U70" i="23"/>
  <c r="U77" i="23" s="1"/>
  <c r="T70" i="23"/>
  <c r="R70" i="23"/>
  <c r="R77" i="23" s="1"/>
  <c r="Q70" i="23"/>
  <c r="P70" i="23"/>
  <c r="O70" i="23"/>
  <c r="M70" i="23"/>
  <c r="L70" i="23"/>
  <c r="K70" i="23"/>
  <c r="J70" i="23"/>
  <c r="J77" i="23" s="1"/>
  <c r="H70" i="23"/>
  <c r="H77" i="23" s="1"/>
  <c r="G70" i="23"/>
  <c r="F70" i="23"/>
  <c r="E70" i="23"/>
  <c r="AD58" i="23"/>
  <c r="AB58" i="23"/>
  <c r="AA58" i="23"/>
  <c r="Z58" i="23"/>
  <c r="Z77" i="23" s="1"/>
  <c r="Y58" i="23"/>
  <c r="Y77" i="23" s="1"/>
  <c r="W58" i="23"/>
  <c r="V58" i="23"/>
  <c r="V77" i="23" s="1"/>
  <c r="U58" i="23"/>
  <c r="T58" i="23"/>
  <c r="R58" i="23"/>
  <c r="Q58" i="23"/>
  <c r="Q77" i="23" s="1"/>
  <c r="P58" i="23"/>
  <c r="P77" i="23" s="1"/>
  <c r="O58" i="23"/>
  <c r="O77" i="23" s="1"/>
  <c r="M58" i="23"/>
  <c r="M77" i="23" s="1"/>
  <c r="L58" i="23"/>
  <c r="K58" i="23"/>
  <c r="J58" i="23"/>
  <c r="H58" i="23"/>
  <c r="G58" i="23"/>
  <c r="G77" i="23" s="1"/>
  <c r="F58" i="23"/>
  <c r="E58" i="23"/>
  <c r="E77" i="23" s="1"/>
  <c r="AG42" i="23"/>
  <c r="AE42" i="23"/>
  <c r="AD42" i="23"/>
  <c r="AA42" i="23"/>
  <c r="Z42" i="23"/>
  <c r="AD30" i="23"/>
  <c r="AB30" i="23"/>
  <c r="AA30" i="23"/>
  <c r="Z30" i="23"/>
  <c r="Y30" i="23"/>
  <c r="Y37" i="23" s="1"/>
  <c r="W30" i="23"/>
  <c r="V30" i="23"/>
  <c r="U30" i="23"/>
  <c r="T30" i="23"/>
  <c r="R30" i="23"/>
  <c r="R37" i="23" s="1"/>
  <c r="Q30" i="23"/>
  <c r="P30" i="23"/>
  <c r="O30" i="23"/>
  <c r="M30" i="23"/>
  <c r="L30" i="23"/>
  <c r="K30" i="23"/>
  <c r="K37" i="23" s="1"/>
  <c r="J30" i="23"/>
  <c r="H30" i="23"/>
  <c r="H37" i="23" s="1"/>
  <c r="G30" i="23"/>
  <c r="F30" i="23"/>
  <c r="E30" i="23"/>
  <c r="AD18" i="23"/>
  <c r="AB18" i="23"/>
  <c r="AA18" i="23"/>
  <c r="AA37" i="23" s="1"/>
  <c r="Z18" i="23"/>
  <c r="W18" i="23"/>
  <c r="W37" i="23" s="1"/>
  <c r="V18" i="23"/>
  <c r="U18" i="23"/>
  <c r="T18" i="23"/>
  <c r="R18" i="23"/>
  <c r="Q18" i="23"/>
  <c r="Q37" i="23" s="1"/>
  <c r="P18" i="23"/>
  <c r="O18" i="23"/>
  <c r="O37" i="23" s="1"/>
  <c r="M18" i="23"/>
  <c r="M37" i="23" s="1"/>
  <c r="L18" i="23"/>
  <c r="L37" i="23" s="1"/>
  <c r="K18" i="23"/>
  <c r="J18" i="23"/>
  <c r="H18" i="23"/>
  <c r="G18" i="23"/>
  <c r="G37" i="23"/>
  <c r="F18" i="23"/>
  <c r="F37" i="23" s="1"/>
  <c r="E18" i="23"/>
  <c r="E37" i="23" s="1"/>
  <c r="Q39" i="22"/>
  <c r="F6" i="22"/>
  <c r="AM5" i="1"/>
  <c r="AM9" i="1"/>
  <c r="AM10" i="1"/>
  <c r="Q38" i="22"/>
  <c r="Q36" i="22"/>
  <c r="Q40" i="22"/>
  <c r="C3" i="22"/>
  <c r="C35" i="22"/>
  <c r="D10" i="22"/>
  <c r="E10" i="22"/>
  <c r="Q41" i="22"/>
  <c r="Q37" i="22"/>
  <c r="Q35" i="22"/>
  <c r="M5" i="20"/>
  <c r="Y5" i="20"/>
  <c r="Z5" i="20"/>
  <c r="AA5" i="20"/>
  <c r="AF5" i="20"/>
  <c r="M6" i="20"/>
  <c r="Y6" i="20"/>
  <c r="Y4" i="20"/>
  <c r="AF6" i="20"/>
  <c r="M7" i="20"/>
  <c r="Y7" i="20"/>
  <c r="Z7" i="20"/>
  <c r="AA7" i="20"/>
  <c r="AF7" i="20"/>
  <c r="AG7" i="20"/>
  <c r="M8" i="20"/>
  <c r="Y8" i="20"/>
  <c r="Z8" i="20"/>
  <c r="AA8" i="20"/>
  <c r="AF8" i="20"/>
  <c r="AG8" i="20"/>
  <c r="M9" i="20"/>
  <c r="Y9" i="20"/>
  <c r="Z9" i="20"/>
  <c r="AA9" i="20"/>
  <c r="AF9" i="20"/>
  <c r="AG9" i="20"/>
  <c r="AE42" i="20"/>
  <c r="X42" i="20"/>
  <c r="V42" i="20"/>
  <c r="S42" i="20"/>
  <c r="R42" i="20"/>
  <c r="Q42" i="20"/>
  <c r="O42" i="20"/>
  <c r="K42" i="20"/>
  <c r="L42" i="20"/>
  <c r="J42" i="20"/>
  <c r="AE29" i="20"/>
  <c r="X29" i="20"/>
  <c r="V29" i="20"/>
  <c r="S29" i="20"/>
  <c r="R29" i="20"/>
  <c r="Q29" i="20"/>
  <c r="L29" i="20"/>
  <c r="K29" i="20"/>
  <c r="J29" i="20"/>
  <c r="H29" i="20"/>
  <c r="D29" i="20"/>
  <c r="E29" i="20"/>
  <c r="F29" i="20"/>
  <c r="C29" i="20"/>
  <c r="AE12" i="20"/>
  <c r="X12" i="20"/>
  <c r="V12" i="20"/>
  <c r="R12" i="20"/>
  <c r="S12" i="20"/>
  <c r="Q12" i="20"/>
  <c r="K12" i="20"/>
  <c r="L12" i="20"/>
  <c r="J12" i="20"/>
  <c r="H12" i="20"/>
  <c r="D12" i="20"/>
  <c r="E12" i="20"/>
  <c r="F12" i="20"/>
  <c r="C12" i="20"/>
  <c r="AE4" i="20"/>
  <c r="X4" i="20"/>
  <c r="V4" i="20"/>
  <c r="R4" i="20"/>
  <c r="S4" i="20"/>
  <c r="Q4" i="20"/>
  <c r="L4" i="20"/>
  <c r="K4" i="20"/>
  <c r="AA48" i="20"/>
  <c r="AH48" i="20"/>
  <c r="F66" i="22"/>
  <c r="F62" i="22"/>
  <c r="F65" i="22"/>
  <c r="F64" i="22"/>
  <c r="F63" i="22"/>
  <c r="F61" i="22"/>
  <c r="F60" i="22"/>
  <c r="F30" i="22"/>
  <c r="F38" i="22"/>
  <c r="F34" i="22"/>
  <c r="F7" i="22"/>
  <c r="F4" i="22"/>
  <c r="F32" i="22"/>
  <c r="F31" i="22"/>
  <c r="F29" i="22"/>
  <c r="F27" i="22"/>
  <c r="F17" i="22"/>
  <c r="F16" i="22"/>
  <c r="F15" i="22"/>
  <c r="F14" i="22"/>
  <c r="F13" i="22"/>
  <c r="F12" i="22"/>
  <c r="F11" i="22"/>
  <c r="F9" i="22"/>
  <c r="F8" i="22"/>
  <c r="F5" i="22"/>
  <c r="M64" i="22"/>
  <c r="M61" i="22"/>
  <c r="M66" i="22"/>
  <c r="M65" i="22"/>
  <c r="M63" i="22"/>
  <c r="M62" i="22"/>
  <c r="F33" i="22"/>
  <c r="F28" i="22"/>
  <c r="M14" i="22"/>
  <c r="M17" i="22"/>
  <c r="M7" i="22"/>
  <c r="M32" i="22"/>
  <c r="M31" i="22"/>
  <c r="M29" i="22"/>
  <c r="M37" i="22"/>
  <c r="M16" i="22"/>
  <c r="M15" i="22"/>
  <c r="M9" i="22"/>
  <c r="M8" i="22"/>
  <c r="M6" i="22"/>
  <c r="U14" i="1"/>
  <c r="U13" i="1"/>
  <c r="U12" i="1"/>
  <c r="U11" i="1"/>
  <c r="U16" i="1"/>
  <c r="U8" i="1"/>
  <c r="U9" i="1"/>
  <c r="U10" i="1"/>
  <c r="U7" i="1"/>
  <c r="U6" i="1"/>
  <c r="U4" i="1"/>
  <c r="U5" i="1"/>
  <c r="U3" i="1"/>
  <c r="E36" i="22"/>
  <c r="E37" i="22"/>
  <c r="E38" i="22"/>
  <c r="E40" i="22"/>
  <c r="E41" i="22"/>
  <c r="D36" i="22"/>
  <c r="D37" i="22"/>
  <c r="D38" i="22"/>
  <c r="D40" i="22"/>
  <c r="D41" i="22"/>
  <c r="C36" i="22"/>
  <c r="C37" i="22"/>
  <c r="C38" i="22"/>
  <c r="C40" i="22"/>
  <c r="C41" i="22"/>
  <c r="Y10" i="1"/>
  <c r="AB16" i="1"/>
  <c r="AB9" i="1"/>
  <c r="AB10" i="1"/>
  <c r="AA16" i="1"/>
  <c r="AD16" i="1"/>
  <c r="Z16" i="1"/>
  <c r="Z9" i="1"/>
  <c r="Y16" i="1"/>
  <c r="AG41" i="20"/>
  <c r="AG40" i="20"/>
  <c r="AG25" i="20"/>
  <c r="AG47" i="20"/>
  <c r="AF46" i="20"/>
  <c r="AG46" i="20"/>
  <c r="AF44" i="20"/>
  <c r="AG44" i="20"/>
  <c r="AH44" i="20"/>
  <c r="AF45" i="20"/>
  <c r="AG45" i="20"/>
  <c r="AF43" i="20"/>
  <c r="AG43" i="20"/>
  <c r="AH43" i="20"/>
  <c r="AF37" i="20"/>
  <c r="AG37" i="20"/>
  <c r="AF36" i="20"/>
  <c r="AF35" i="20"/>
  <c r="AG35" i="20"/>
  <c r="AH35" i="20"/>
  <c r="AF34" i="20"/>
  <c r="AG34" i="20"/>
  <c r="AF31" i="20"/>
  <c r="AG31" i="20"/>
  <c r="AF30" i="20"/>
  <c r="AG30" i="20"/>
  <c r="AH30" i="20"/>
  <c r="AF17" i="20"/>
  <c r="AF29" i="20"/>
  <c r="AG17" i="20"/>
  <c r="AF18" i="20"/>
  <c r="AG18" i="20"/>
  <c r="AF21" i="20"/>
  <c r="AG21" i="20"/>
  <c r="AG29" i="20"/>
  <c r="AF16" i="20"/>
  <c r="AF12" i="20"/>
  <c r="AF15" i="20"/>
  <c r="AG15" i="20"/>
  <c r="AF14" i="20"/>
  <c r="AG14" i="20"/>
  <c r="AF13" i="20"/>
  <c r="AG13" i="20"/>
  <c r="AF11" i="20"/>
  <c r="AG11" i="20"/>
  <c r="AH11" i="20"/>
  <c r="AF10" i="20"/>
  <c r="AG10" i="20"/>
  <c r="AH10" i="20"/>
  <c r="AF3" i="20"/>
  <c r="AG3" i="20"/>
  <c r="AH3" i="20"/>
  <c r="AF2" i="20"/>
  <c r="AG2" i="20"/>
  <c r="AH2" i="20"/>
  <c r="AF47" i="20"/>
  <c r="Z47" i="20"/>
  <c r="Z39" i="20"/>
  <c r="Z38" i="20"/>
  <c r="Z35" i="20"/>
  <c r="AA35" i="20"/>
  <c r="Y47" i="20"/>
  <c r="Y46" i="20"/>
  <c r="Z46" i="20"/>
  <c r="Y45" i="20"/>
  <c r="Z45" i="20"/>
  <c r="Y44" i="20"/>
  <c r="Z44" i="20"/>
  <c r="AA44" i="20"/>
  <c r="Y43" i="20"/>
  <c r="Z43" i="20"/>
  <c r="AA43" i="20"/>
  <c r="Y37" i="20"/>
  <c r="Y36" i="20"/>
  <c r="Z36" i="20"/>
  <c r="AA36" i="20"/>
  <c r="Y31" i="20"/>
  <c r="Z31" i="20"/>
  <c r="Z42" i="20"/>
  <c r="Y30" i="20"/>
  <c r="Z30" i="20"/>
  <c r="AA30" i="20"/>
  <c r="Y26" i="20"/>
  <c r="Z26" i="20"/>
  <c r="Y24" i="20"/>
  <c r="Z24" i="20"/>
  <c r="Y21" i="20"/>
  <c r="Z21" i="20"/>
  <c r="AA21" i="20"/>
  <c r="Y17" i="20"/>
  <c r="Z17" i="20"/>
  <c r="Y16" i="20"/>
  <c r="Z16" i="20"/>
  <c r="AA16" i="20"/>
  <c r="AA12" i="20"/>
  <c r="Y15" i="20"/>
  <c r="Z15" i="20"/>
  <c r="Y14" i="20"/>
  <c r="Z14" i="20"/>
  <c r="Y13" i="20"/>
  <c r="Z13" i="20"/>
  <c r="Y11" i="20"/>
  <c r="Z11" i="20"/>
  <c r="AA11" i="20"/>
  <c r="Y10" i="20"/>
  <c r="Z10" i="20"/>
  <c r="AA10" i="20"/>
  <c r="Y3" i="20"/>
  <c r="Z3" i="20"/>
  <c r="AA3" i="20"/>
  <c r="Y2" i="20"/>
  <c r="Z2" i="20"/>
  <c r="AA2" i="20"/>
  <c r="AH9" i="1"/>
  <c r="AH10" i="1"/>
  <c r="AH5" i="1"/>
  <c r="AA5" i="1"/>
  <c r="O43" i="20"/>
  <c r="M43" i="20"/>
  <c r="AA30" i="19"/>
  <c r="AD11" i="1"/>
  <c r="Z5" i="1"/>
  <c r="AD3" i="1"/>
  <c r="M48" i="20"/>
  <c r="R47" i="20"/>
  <c r="M47" i="20"/>
  <c r="K47" i="20"/>
  <c r="M46" i="20"/>
  <c r="M45" i="20"/>
  <c r="M37" i="20"/>
  <c r="M36" i="20"/>
  <c r="M35" i="20"/>
  <c r="M34" i="20"/>
  <c r="M33" i="20"/>
  <c r="M32" i="20"/>
  <c r="M31" i="20"/>
  <c r="M27" i="20"/>
  <c r="M26" i="20"/>
  <c r="M24" i="20"/>
  <c r="M23" i="20"/>
  <c r="M22" i="20"/>
  <c r="O21" i="20"/>
  <c r="O29" i="20"/>
  <c r="M20" i="20"/>
  <c r="M19" i="20"/>
  <c r="M17" i="20"/>
  <c r="M15" i="20"/>
  <c r="M14" i="20"/>
  <c r="M13" i="20"/>
  <c r="O11" i="20"/>
  <c r="M11" i="20"/>
  <c r="M10" i="20"/>
  <c r="M3" i="20"/>
  <c r="M2" i="20"/>
  <c r="AD12" i="1"/>
  <c r="AD13" i="1"/>
  <c r="AD14" i="1"/>
  <c r="AD7" i="1"/>
  <c r="AD8" i="1"/>
  <c r="AD6" i="1"/>
  <c r="AD4" i="1"/>
  <c r="AD5" i="1"/>
  <c r="W9" i="1"/>
  <c r="W10" i="1"/>
  <c r="W5" i="1"/>
  <c r="T5" i="1"/>
  <c r="L16" i="1"/>
  <c r="M16" i="1"/>
  <c r="L7" i="1"/>
  <c r="J4" i="1"/>
  <c r="J5" i="1"/>
  <c r="K4" i="1"/>
  <c r="K5" i="1"/>
  <c r="S9" i="1"/>
  <c r="S10" i="1"/>
  <c r="S5" i="1"/>
  <c r="Q9" i="1"/>
  <c r="Q10" i="1"/>
  <c r="R9" i="1"/>
  <c r="R10" i="1"/>
  <c r="Q5" i="1"/>
  <c r="R5" i="1"/>
  <c r="L5" i="1"/>
  <c r="M5" i="1"/>
  <c r="O6" i="1"/>
  <c r="O3" i="1"/>
  <c r="K9" i="1"/>
  <c r="K10" i="1"/>
  <c r="J9" i="1"/>
  <c r="J10" i="1"/>
  <c r="T10" i="1"/>
  <c r="T16" i="1"/>
  <c r="M21" i="20"/>
  <c r="M9" i="1"/>
  <c r="M10" i="1"/>
  <c r="O16" i="1"/>
  <c r="O9" i="1"/>
  <c r="O10" i="1"/>
  <c r="Z10" i="1"/>
  <c r="AA9" i="1"/>
  <c r="AA10" i="1"/>
  <c r="L9" i="1"/>
  <c r="L10" i="1"/>
  <c r="O4" i="1"/>
  <c r="O5" i="1"/>
  <c r="M30" i="22"/>
  <c r="M33" i="22"/>
  <c r="O30" i="20"/>
  <c r="M30" i="20"/>
  <c r="O16" i="20"/>
  <c r="O12" i="20"/>
  <c r="Z37" i="20"/>
  <c r="Y29" i="20"/>
  <c r="AD9" i="1"/>
  <c r="AD10" i="1"/>
  <c r="M28" i="22"/>
  <c r="M36" i="22"/>
  <c r="F36" i="22"/>
  <c r="M60" i="22"/>
  <c r="M11" i="22"/>
  <c r="M41" i="22"/>
  <c r="F24" i="22"/>
  <c r="F25" i="22"/>
  <c r="F22" i="22"/>
  <c r="F37" i="22"/>
  <c r="K19" i="22"/>
  <c r="F20" i="22"/>
  <c r="F21" i="22"/>
  <c r="F40" i="22"/>
  <c r="J19" i="22"/>
  <c r="J35" i="22"/>
  <c r="F41" i="22"/>
  <c r="M40" i="22"/>
  <c r="M25" i="22"/>
  <c r="D3" i="22"/>
  <c r="D35" i="22"/>
  <c r="F10" i="22"/>
  <c r="E3" i="22"/>
  <c r="M22" i="22"/>
  <c r="M27" i="22"/>
  <c r="O35" i="22"/>
  <c r="L35" i="22"/>
  <c r="M3" i="22"/>
  <c r="M19" i="22"/>
  <c r="M39" i="22"/>
  <c r="T35" i="22"/>
  <c r="T19" i="22"/>
  <c r="M24" i="22"/>
  <c r="M23" i="22"/>
  <c r="M38" i="22"/>
  <c r="M35" i="22"/>
  <c r="E35" i="22"/>
  <c r="F3" i="22"/>
  <c r="F35" i="22"/>
  <c r="F19" i="22"/>
  <c r="X24" i="22"/>
  <c r="X21" i="22"/>
  <c r="X23" i="22"/>
  <c r="X22" i="22"/>
  <c r="AT5" i="1"/>
  <c r="AT9" i="1"/>
  <c r="AT10" i="1"/>
  <c r="AG5" i="20"/>
  <c r="AL70" i="23"/>
  <c r="AL77" i="23" s="1"/>
  <c r="V37" i="23"/>
  <c r="AI37" i="23"/>
  <c r="AV5" i="1"/>
  <c r="T77" i="23"/>
  <c r="AN58" i="23"/>
  <c r="AN77" i="23" s="1"/>
  <c r="AN70" i="23"/>
  <c r="W77" i="23"/>
  <c r="AN18" i="23"/>
  <c r="AN37" i="23" s="1"/>
  <c r="AN30" i="23"/>
  <c r="AA77" i="23"/>
  <c r="AO77" i="23"/>
  <c r="AP18" i="23"/>
  <c r="AP37" i="23" s="1"/>
  <c r="P37" i="23"/>
  <c r="AI77" i="23"/>
  <c r="AP58" i="23"/>
  <c r="AP77" i="23" s="1"/>
  <c r="AH29" i="20"/>
  <c r="M29" i="20"/>
  <c r="M42" i="20"/>
  <c r="AF4" i="20"/>
  <c r="AA31" i="20"/>
  <c r="AG16" i="20"/>
  <c r="AH16" i="20"/>
  <c r="M4" i="20"/>
  <c r="O44" i="20"/>
  <c r="M44" i="20"/>
  <c r="Y42" i="20"/>
  <c r="AA42" i="20"/>
  <c r="AF42" i="20"/>
  <c r="Z29" i="20"/>
  <c r="AA29" i="20"/>
  <c r="Z12" i="20"/>
  <c r="AG36" i="20"/>
  <c r="AH36" i="20"/>
  <c r="AG6" i="20"/>
  <c r="AG4" i="20"/>
  <c r="AH4" i="20"/>
  <c r="AH31" i="20"/>
  <c r="AH21" i="20"/>
  <c r="Z6" i="20"/>
  <c r="Y12" i="20"/>
  <c r="M16" i="20"/>
  <c r="M12" i="20"/>
  <c r="BA5" i="1"/>
  <c r="BB10" i="1"/>
  <c r="AG12" i="20"/>
  <c r="AH12" i="20"/>
  <c r="Z4" i="20"/>
  <c r="AA4" i="20"/>
  <c r="AA6" i="20"/>
  <c r="AG42" i="20"/>
  <c r="AH42" i="20"/>
  <c r="AB37" i="23" l="1"/>
  <c r="AB77" i="23"/>
  <c r="AD37" i="23"/>
  <c r="J37" i="23"/>
  <c r="T37" i="23"/>
  <c r="K77" i="23"/>
  <c r="U37" i="23"/>
  <c r="F77" i="23"/>
  <c r="AL37" i="23"/>
  <c r="Z37" i="23"/>
  <c r="AO37" i="23"/>
</calcChain>
</file>

<file path=xl/sharedStrings.xml><?xml version="1.0" encoding="utf-8"?>
<sst xmlns="http://schemas.openxmlformats.org/spreadsheetml/2006/main" count="863" uniqueCount="350">
  <si>
    <t>2020/21</t>
  </si>
  <si>
    <t>PL (liczba sklepów)</t>
  </si>
  <si>
    <t>ENG (store count)</t>
  </si>
  <si>
    <t>30.06.2018</t>
  </si>
  <si>
    <t>30.09.2018</t>
  </si>
  <si>
    <t>31.12.2018</t>
  </si>
  <si>
    <t>31.03.2019</t>
  </si>
  <si>
    <t>Własne CCC</t>
  </si>
  <si>
    <t xml:space="preserve">   Polska</t>
  </si>
  <si>
    <t xml:space="preserve">   Poland</t>
  </si>
  <si>
    <t xml:space="preserve">   Czechy</t>
  </si>
  <si>
    <t xml:space="preserve">   Czech Republic</t>
  </si>
  <si>
    <t xml:space="preserve">   Węgry</t>
  </si>
  <si>
    <t xml:space="preserve">   Hungary</t>
  </si>
  <si>
    <t xml:space="preserve">   Austria</t>
  </si>
  <si>
    <t xml:space="preserve">   Słowacja</t>
  </si>
  <si>
    <t xml:space="preserve">   Slovakia</t>
  </si>
  <si>
    <t xml:space="preserve">   Chorwacja</t>
  </si>
  <si>
    <t xml:space="preserve">   Croatia</t>
  </si>
  <si>
    <t xml:space="preserve">   Rosja</t>
  </si>
  <si>
    <t xml:space="preserve">   Russia</t>
  </si>
  <si>
    <t xml:space="preserve">   Słowenia</t>
  </si>
  <si>
    <t xml:space="preserve">   Slovenia</t>
  </si>
  <si>
    <t xml:space="preserve">   Bułgaria</t>
  </si>
  <si>
    <t xml:space="preserve">   Bulgaria</t>
  </si>
  <si>
    <t xml:space="preserve">   Serbia</t>
  </si>
  <si>
    <t xml:space="preserve">   Rumunia</t>
  </si>
  <si>
    <t xml:space="preserve">   Romania</t>
  </si>
  <si>
    <t>-</t>
  </si>
  <si>
    <t xml:space="preserve">   Ukraina</t>
  </si>
  <si>
    <t xml:space="preserve">   Ukraine</t>
  </si>
  <si>
    <t xml:space="preserve">   Łotwa</t>
  </si>
  <si>
    <t xml:space="preserve">   Latvia</t>
  </si>
  <si>
    <t xml:space="preserve">   Litwa</t>
  </si>
  <si>
    <t xml:space="preserve">   Lithuania</t>
  </si>
  <si>
    <t xml:space="preserve">   Estonia</t>
  </si>
  <si>
    <t xml:space="preserve">   Mołdawia</t>
  </si>
  <si>
    <t xml:space="preserve">   Moldova</t>
  </si>
  <si>
    <t xml:space="preserve">   Kosowo</t>
  </si>
  <si>
    <t xml:space="preserve">   Kosovo</t>
  </si>
  <si>
    <t xml:space="preserve">   Katar</t>
  </si>
  <si>
    <t xml:space="preserve">   Qatar</t>
  </si>
  <si>
    <t xml:space="preserve">   Zjednoczone Emiraty Arabskie</t>
  </si>
  <si>
    <t xml:space="preserve">   United Arab Emirates</t>
  </si>
  <si>
    <t xml:space="preserve">   Arabia Saudyjska</t>
  </si>
  <si>
    <t xml:space="preserve">   Saudi Arabia</t>
  </si>
  <si>
    <t xml:space="preserve">   Oman</t>
  </si>
  <si>
    <t xml:space="preserve">   Bahrajn</t>
  </si>
  <si>
    <t xml:space="preserve">   Bahrain</t>
  </si>
  <si>
    <t>RAZEM FRANCZYZA</t>
  </si>
  <si>
    <t>TOTAL FRANCHISE</t>
  </si>
  <si>
    <t xml:space="preserve">   eobuwie.pl</t>
  </si>
  <si>
    <t xml:space="preserve">   HalfPrice</t>
  </si>
  <si>
    <t xml:space="preserve">   KVAG</t>
  </si>
  <si>
    <t xml:space="preserve">   Gino Rossi</t>
  </si>
  <si>
    <t>RAZEM</t>
  </si>
  <si>
    <t>TOTAL</t>
  </si>
  <si>
    <t>RAZEM LICZBA RYNKÓW</t>
  </si>
  <si>
    <t>TOTAL NUMBER OF MARKETS</t>
  </si>
  <si>
    <t>działalność zaniechana - KVAG</t>
  </si>
  <si>
    <t>discontinued operations - KVAG</t>
  </si>
  <si>
    <r>
      <t>PL (m</t>
    </r>
    <r>
      <rPr>
        <sz val="11"/>
        <color theme="1"/>
        <rFont val="Calibri"/>
        <family val="2"/>
        <charset val="238"/>
      </rPr>
      <t>²)</t>
    </r>
  </si>
  <si>
    <t>ENG (sqm)</t>
  </si>
  <si>
    <t>31.03.2018</t>
  </si>
  <si>
    <t>MODIVO</t>
  </si>
  <si>
    <t xml:space="preserve">PL </t>
  </si>
  <si>
    <t>ENG</t>
  </si>
  <si>
    <t>e-com</t>
  </si>
  <si>
    <t>Przychód e-commerce (mln PLN)</t>
  </si>
  <si>
    <t>e-commerce revenues (M PLN)</t>
  </si>
  <si>
    <t>Udział e-commerce (%)</t>
  </si>
  <si>
    <t>e-commerce share (%)</t>
  </si>
  <si>
    <t>PL (mln PLN)</t>
  </si>
  <si>
    <t>Q1 2018</t>
  </si>
  <si>
    <t>Q2 2018</t>
  </si>
  <si>
    <t>Q3 2018</t>
  </si>
  <si>
    <t>Q4 2018</t>
  </si>
  <si>
    <t>Q1 2019</t>
  </si>
  <si>
    <t>Q2 2019</t>
  </si>
  <si>
    <t>Q3 2019</t>
  </si>
  <si>
    <t>Q4 2019</t>
  </si>
  <si>
    <t>Q1 2020</t>
  </si>
  <si>
    <t>Q2 2020</t>
  </si>
  <si>
    <t>Q3 2020</t>
  </si>
  <si>
    <r>
      <t>Q4 2020</t>
    </r>
    <r>
      <rPr>
        <b/>
        <sz val="11"/>
        <color theme="1"/>
        <rFont val="Calibri"/>
        <family val="2"/>
        <charset val="238"/>
      </rPr>
      <t>¹</t>
    </r>
    <r>
      <rPr>
        <b/>
        <sz val="11"/>
        <color theme="1"/>
        <rFont val="Calibri"/>
        <family val="2"/>
        <charset val="238"/>
        <scheme val="minor"/>
      </rPr>
      <t xml:space="preserve">
(3M prelim)</t>
    </r>
  </si>
  <si>
    <t>Przychody ze sprzedaży</t>
  </si>
  <si>
    <t>Zysk brutto na sprzedaży</t>
  </si>
  <si>
    <t>Gross profit on sales</t>
  </si>
  <si>
    <t>Marża brutto</t>
  </si>
  <si>
    <t>Gross margin</t>
  </si>
  <si>
    <t>   Koszty sprzedaży i ogólnego zarządu</t>
  </si>
  <si>
    <t xml:space="preserve">   Sales and administration costs</t>
  </si>
  <si>
    <t>N/A</t>
  </si>
  <si>
    <t>   Pozostałe przychody i koszty operacyjne</t>
  </si>
  <si>
    <t>Wynik operacyjny</t>
  </si>
  <si>
    <t>Operating profit</t>
  </si>
  <si>
    <t>   EBITDA</t>
  </si>
  <si>
    <t>   Marża EBITDA</t>
  </si>
  <si>
    <t>   EBITDA margin</t>
  </si>
  <si>
    <t>   Przychody i koszty finansowe netto</t>
  </si>
  <si>
    <t>Zysk przed opodatkowaniem</t>
  </si>
  <si>
    <t>Profit before tax</t>
  </si>
  <si>
    <t>   Podatek</t>
  </si>
  <si>
    <t>   Income tax</t>
  </si>
  <si>
    <t>Amortyzacja</t>
  </si>
  <si>
    <t>Amortization</t>
  </si>
  <si>
    <r>
      <rPr>
        <sz val="10"/>
        <color theme="1"/>
        <rFont val="Calibri"/>
        <family val="2"/>
        <charset val="238"/>
      </rPr>
      <t>¹</t>
    </r>
    <r>
      <rPr>
        <i/>
        <sz val="10"/>
        <color theme="1"/>
        <rFont val="Calibri"/>
        <family val="2"/>
        <charset val="238"/>
        <scheme val="minor"/>
      </rPr>
      <t xml:space="preserve"> Wstępne szacunkowe dane za czwarty kwartał 3 miesięczny 2020 roku
</t>
    </r>
    <r>
      <rPr>
        <sz val="10"/>
        <color theme="1"/>
        <rFont val="Calibri"/>
        <family val="2"/>
        <charset val="238"/>
      </rPr>
      <t>¹</t>
    </r>
    <r>
      <rPr>
        <i/>
        <sz val="9"/>
        <color theme="1"/>
        <rFont val="Calibri"/>
        <family val="2"/>
        <charset val="238"/>
      </rPr>
      <t xml:space="preserve"> </t>
    </r>
    <r>
      <rPr>
        <i/>
        <sz val="10"/>
        <color theme="1"/>
        <rFont val="Calibri"/>
        <family val="2"/>
        <charset val="238"/>
        <scheme val="minor"/>
      </rPr>
      <t>Preliminary estimated results for the fourth quarter 3 months of 2020</t>
    </r>
  </si>
  <si>
    <t>2020*</t>
  </si>
  <si>
    <t>30.06.2016</t>
  </si>
  <si>
    <t>30.09.2016</t>
  </si>
  <si>
    <t>31.12.2016</t>
  </si>
  <si>
    <t>31.03.2017</t>
  </si>
  <si>
    <t>30.06.2017</t>
  </si>
  <si>
    <t>30.09.2017</t>
  </si>
  <si>
    <t>31.12.2017</t>
  </si>
  <si>
    <t>31.12.2020*</t>
  </si>
  <si>
    <t>AKTYWA</t>
  </si>
  <si>
    <t>ASSETS</t>
  </si>
  <si>
    <t>Wartości niematerialne</t>
  </si>
  <si>
    <t>Intangible assets</t>
  </si>
  <si>
    <t>Wartość firmy</t>
  </si>
  <si>
    <t>Goodwill</t>
  </si>
  <si>
    <t>Prawo do użytkowania aktywa</t>
  </si>
  <si>
    <t>Aktywa z tytułu podatku odroczonego</t>
  </si>
  <si>
    <t>Udzielone pożyczki</t>
  </si>
  <si>
    <t>Loans granted</t>
  </si>
  <si>
    <t>Trade receivables</t>
  </si>
  <si>
    <t>Aktywa trwałe</t>
  </si>
  <si>
    <t>Total non-current assets</t>
  </si>
  <si>
    <t>Zapasy</t>
  </si>
  <si>
    <t>Inventories</t>
  </si>
  <si>
    <t>Pozostałe należności</t>
  </si>
  <si>
    <t>Other receivables</t>
  </si>
  <si>
    <t>Środki pieniężne</t>
  </si>
  <si>
    <t>Cash and cash equivalents</t>
  </si>
  <si>
    <t>Aktywa obrotowe</t>
  </si>
  <si>
    <t>Total current assets</t>
  </si>
  <si>
    <t>Aktywa grupy do zbycia przeznaczone do sprzedaży</t>
  </si>
  <si>
    <t>Assets classified as held for sale</t>
  </si>
  <si>
    <t>SUMA AKTYWÓW</t>
  </si>
  <si>
    <t>TOTAL ASSETS</t>
  </si>
  <si>
    <t>PASYWA</t>
  </si>
  <si>
    <t>LIABILITIES</t>
  </si>
  <si>
    <t>Zobowiązania z tytułu obowiązeku wykupu udziałów niekontrolujących</t>
  </si>
  <si>
    <t>Zobowiązania z tytułu leasingu</t>
  </si>
  <si>
    <t>Lease liabilities</t>
  </si>
  <si>
    <t>Zobowiązania długoterminowe</t>
  </si>
  <si>
    <t>Total non-current liabilities</t>
  </si>
  <si>
    <t>Pozostałe zobowiązania</t>
  </si>
  <si>
    <t>Other liabilities</t>
  </si>
  <si>
    <t>Zobowiązania krótkoterminowe</t>
  </si>
  <si>
    <t>Total current liabilities</t>
  </si>
  <si>
    <t>Zobowiązania związane z grupą do zbycia</t>
  </si>
  <si>
    <t>Liabilities directly associated with assets classified as held for sale</t>
  </si>
  <si>
    <t>ZOBOWIĄZANIA RAZEM</t>
  </si>
  <si>
    <t>TOTAL LIABILITIES</t>
  </si>
  <si>
    <t>Razem kapitały własne</t>
  </si>
  <si>
    <t>Total equity</t>
  </si>
  <si>
    <t>SUMA PASYWÓW</t>
  </si>
  <si>
    <t>Q4 2020*</t>
  </si>
  <si>
    <t xml:space="preserve">   Amortyzacja</t>
  </si>
  <si>
    <t xml:space="preserve">   Amortization and depreciation</t>
  </si>
  <si>
    <t xml:space="preserve">   Odpisy aktualizujące wartosc środków trwałych</t>
  </si>
  <si>
    <t xml:space="preserve">   Impairment on fixed assets</t>
  </si>
  <si>
    <t xml:space="preserve">   Strata na działalności inwestycyjnej</t>
  </si>
  <si>
    <t>Udział w jednostkach stowarzyszonych</t>
  </si>
  <si>
    <t xml:space="preserve">   Koszty finansowania zewnętrznego</t>
  </si>
  <si>
    <t xml:space="preserve">   Pozostałe korekty zysku przed opodatkowaniem</t>
  </si>
  <si>
    <t xml:space="preserve">   Podatek dochodowy zapłacony</t>
  </si>
  <si>
    <t>Cash flow before changes in working capital</t>
  </si>
  <si>
    <t>Zmiany w kapitale obrotowym</t>
  </si>
  <si>
    <t>Changes in working capital</t>
  </si>
  <si>
    <t xml:space="preserve">   Zmiana stanu zapasów i odpisów aktualizujących zapasy</t>
  </si>
  <si>
    <t xml:space="preserve">   Change in inventory and inventory write-downs</t>
  </si>
  <si>
    <t>   Zmiana stanu należności</t>
  </si>
  <si>
    <t xml:space="preserve">   Change in receivables</t>
  </si>
  <si>
    <t>   Zmiana stanu zobowiązań krótkoterminowych, z wyjątkiem pożyczek i kredytów</t>
  </si>
  <si>
    <t xml:space="preserve">   Change in current liabilities, excluding borrowings</t>
  </si>
  <si>
    <t>Przepływy pieniężne netto z działalności operacyjnej</t>
  </si>
  <si>
    <t>Net cash flows from operating activities</t>
  </si>
  <si>
    <t>   Wpływy ze sprzedaży rzeczowych aktywów trwałych</t>
  </si>
  <si>
    <t xml:space="preserve">   Spłaty pożyczek udzielonych i odsetek</t>
  </si>
  <si>
    <t xml:space="preserve">   Repayment of loans granted and interest</t>
  </si>
  <si>
    <t>Inne wpływy inwestycyjne</t>
  </si>
  <si>
    <t>Other investment income</t>
  </si>
  <si>
    <t xml:space="preserve">   Pożyczki udzielone*</t>
  </si>
  <si>
    <t>Inne wydatki inwestycyjne</t>
  </si>
  <si>
    <t xml:space="preserve">   Wydatki związane z nabyciem spółki Gino Rossi SA </t>
  </si>
  <si>
    <t>Przepływy pieniężne netto z działalności inwestycyjnej</t>
  </si>
  <si>
    <t>Net cash flows from investing activities</t>
  </si>
  <si>
    <t xml:space="preserve">   Wpływy z tytułu zaciągnięcia kredytów i pożyczek</t>
  </si>
  <si>
    <t xml:space="preserve">   Proceeds from borrowings</t>
  </si>
  <si>
    <t xml:space="preserve">   Emisja obligacji</t>
  </si>
  <si>
    <t xml:space="preserve">   Issue of bonds</t>
  </si>
  <si>
    <t xml:space="preserve">   Wykup obligacji</t>
  </si>
  <si>
    <t xml:space="preserve">   Repayment of bonds</t>
  </si>
  <si>
    <t xml:space="preserve">   Dywidendy i inne wypłaty na rzecz włascicieli</t>
  </si>
  <si>
    <t xml:space="preserve">   Dividends and other payments to owners</t>
  </si>
  <si>
    <t xml:space="preserve">   Spłaty kredytów i pożyczek</t>
  </si>
  <si>
    <t xml:space="preserve">   Repayment of borrowings</t>
  </si>
  <si>
    <t xml:space="preserve">   Płatności z tytułu leasingu</t>
  </si>
  <si>
    <t xml:space="preserve">   Odsetki zapłacone</t>
  </si>
  <si>
    <t>Przepływy pieniężne netto z działalności finansowej</t>
  </si>
  <si>
    <t>Net cash flows from finance activities</t>
  </si>
  <si>
    <t>PRZEPŁYWY PIENIĘŻNE RAZEM</t>
  </si>
  <si>
    <t>TOTAL CASH FLOWS</t>
  </si>
  <si>
    <t xml:space="preserve">   Zwiększenie/zmniejszenie netto stanu środków pieniężnych i ekwiwalentów środków pieniężnych </t>
  </si>
  <si>
    <t xml:space="preserve">   Net increase/decrease of cash and cash equivalents</t>
  </si>
  <si>
    <t xml:space="preserve">      Zmiana z tytułu różnic kursowych z wyceny środków pieniężnych i ich ekwiwalentów</t>
  </si>
  <si>
    <t xml:space="preserve">   Exchange rate changes on cash and cash equivalents</t>
  </si>
  <si>
    <t>Środki pieniężne i ich ekwiwalenty na początek okresu</t>
  </si>
  <si>
    <t>Cash and cash equivalents at beginning of period</t>
  </si>
  <si>
    <t>Środki pieniężne i ich ekwiwalenty na koniec okresu</t>
  </si>
  <si>
    <t>Cash and cash equivalents at the end of period</t>
  </si>
  <si>
    <t>Rzeczowe aktywa trwałe</t>
  </si>
  <si>
    <t>Tangible fixed assets</t>
  </si>
  <si>
    <t>Right to use assets</t>
  </si>
  <si>
    <t>Deffered tax assets</t>
  </si>
  <si>
    <t>Należności handlowe</t>
  </si>
  <si>
    <t>Debt liabilities</t>
  </si>
  <si>
    <t>Obligation to repurchase non-controlling interests</t>
  </si>
  <si>
    <t>Zobowiązania wobec dostawców</t>
  </si>
  <si>
    <t>Trade liabilities</t>
  </si>
  <si>
    <t>HalfPrice</t>
  </si>
  <si>
    <t>FY 2020
(13M )</t>
  </si>
  <si>
    <r>
      <rPr>
        <sz val="10"/>
        <color theme="1"/>
        <rFont val="Calibri"/>
        <family val="2"/>
        <charset val="238"/>
      </rPr>
      <t>²</t>
    </r>
    <r>
      <rPr>
        <i/>
        <sz val="10"/>
        <color theme="1"/>
        <rFont val="Calibri"/>
        <family val="2"/>
        <charset val="238"/>
        <scheme val="minor"/>
      </rPr>
      <t xml:space="preserve"> Wstępne szacunkowe dane za czwarty kwartał 4 miesięczny roku obrotowego 2020
</t>
    </r>
    <r>
      <rPr>
        <sz val="10"/>
        <color theme="1"/>
        <rFont val="Calibri"/>
        <family val="2"/>
        <charset val="238"/>
      </rPr>
      <t>²</t>
    </r>
    <r>
      <rPr>
        <i/>
        <sz val="9"/>
        <color theme="1"/>
        <rFont val="Calibri"/>
        <family val="2"/>
        <charset val="238"/>
      </rPr>
      <t xml:space="preserve"> </t>
    </r>
    <r>
      <rPr>
        <i/>
        <sz val="10"/>
        <color theme="1"/>
        <rFont val="Calibri"/>
        <family val="2"/>
        <charset val="238"/>
        <scheme val="minor"/>
      </rPr>
      <t>Preliminary estimated results for the fourth quarter 4 months of 2020 fiscal year</t>
    </r>
  </si>
  <si>
    <t>FY 2020
(12M )</t>
  </si>
  <si>
    <t>Q1 2021</t>
  </si>
  <si>
    <t>Q2 2021</t>
  </si>
  <si>
    <t>Q3 2021</t>
  </si>
  <si>
    <t>Q4 2021</t>
  </si>
  <si>
    <t>FY 2021</t>
  </si>
  <si>
    <t>FY 2020*</t>
  </si>
  <si>
    <t>FY 2020 (13M)</t>
  </si>
  <si>
    <t>Q4 2020</t>
  </si>
  <si>
    <t>FY 2020 (12M)</t>
  </si>
  <si>
    <t xml:space="preserve">   Loss on investment activity</t>
  </si>
  <si>
    <t xml:space="preserve">   Share of net profit (loss) of associates accounted for using the equity method</t>
  </si>
  <si>
    <t xml:space="preserve">   Cost of borrowings</t>
  </si>
  <si>
    <t xml:space="preserve">   Other adjustments to profit before tax</t>
  </si>
  <si>
    <t xml:space="preserve">   Income tax paid</t>
  </si>
  <si>
    <t xml:space="preserve">   Wpływy z tytułu rozliczenia inwestycji w sklepach z wynajmującymi</t>
  </si>
  <si>
    <t xml:space="preserve">   Wydatki dotyczące nabycia przedsięwzięcia Adler</t>
  </si>
  <si>
    <t xml:space="preserve">   Wydatki dotyczące inwestycji w jednostkę stowarzyszoną HR Group</t>
  </si>
  <si>
    <t xml:space="preserve">   Wpływ z tytułu sprzedaży NG2 s.a.r.l. oraz Karl Voegele AG</t>
  </si>
  <si>
    <t xml:space="preserve">   Wydatki na nabycie udziałów niekontrolujących </t>
  </si>
  <si>
    <t xml:space="preserve">   Proceeds from the sale of tangible fixed assets</t>
  </si>
  <si>
    <t xml:space="preserve">   </t>
  </si>
  <si>
    <t xml:space="preserve">   Acquisition of intangible and tangible fixed assets</t>
  </si>
  <si>
    <t xml:space="preserve">   Loans granted</t>
  </si>
  <si>
    <t xml:space="preserve">   Payment related to acquisition of Adler</t>
  </si>
  <si>
    <t xml:space="preserve">   Payment related to investment in HR Group associate</t>
  </si>
  <si>
    <t xml:space="preserve">   Other outflows from investing activities</t>
  </si>
  <si>
    <t xml:space="preserve">   Payment related to investment in Gino Rossi associate</t>
  </si>
  <si>
    <t xml:space="preserve">   Expenditures for the acquisition of non-controlling interests</t>
  </si>
  <si>
    <t xml:space="preserve">   Lease payments</t>
  </si>
  <si>
    <t xml:space="preserve">   Interest paid</t>
  </si>
  <si>
    <t xml:space="preserve">   Proceeds from the issue of shares </t>
  </si>
  <si>
    <t xml:space="preserve">   Other outflows from financing activities</t>
  </si>
  <si>
    <t xml:space="preserve">   Otrzymana zaliczka od A&amp;R Investments Limited oraz wpłata od Cyfrowego Polsatu z tytułu sprzedaży akcji eobuwie.pl S.A.</t>
  </si>
  <si>
    <t xml:space="preserve">   Nabycie akcji eobuwie.pl S.A. od MKK3</t>
  </si>
  <si>
    <t xml:space="preserve">   Wpływy netto z emisji akcji</t>
  </si>
  <si>
    <t xml:space="preserve">   Inne wydatki finansowe</t>
  </si>
  <si>
    <r>
      <t xml:space="preserve">   Nabycie wartości niematerialnych i rzeczowych aktywów trwałych</t>
    </r>
    <r>
      <rPr>
        <vertAlign val="superscript"/>
        <sz val="11"/>
        <color theme="1"/>
        <rFont val="Calibri"/>
        <family val="2"/>
        <charset val="238"/>
        <scheme val="minor"/>
      </rPr>
      <t>2</t>
    </r>
  </si>
  <si>
    <t>* Dane bilansowe na dzień 31.12.2020 nie publikowane w związku z przesunieciem roku obrotowego. Rok obrotowy 2020 zakończył się 31.01.2021
* Balance sheet data as of 31.12.2020 not published due to shifting of the fiscal year. Financial year 2020 ended 31.01.2021</t>
  </si>
  <si>
    <t xml:space="preserve"> |-&gt; Data on continued operations (without KVAG from Q1 2019)</t>
  </si>
  <si>
    <t>FY 2020</t>
  </si>
  <si>
    <t>DeeZee</t>
  </si>
  <si>
    <t>AMORTYZACJA</t>
  </si>
  <si>
    <t>Segment profitability</t>
  </si>
  <si>
    <t>DEPRECIATION</t>
  </si>
  <si>
    <t>LICZBA SKLEPÓW / STORE COUNT</t>
  </si>
  <si>
    <t>POWIERZCHNIA / FLOORSPACE</t>
  </si>
  <si>
    <t>RAZEM WŁASNE SKLEPY CCC</t>
  </si>
  <si>
    <t>TOTAL OWN CCC STORES</t>
  </si>
  <si>
    <t>Pozostałe / Other</t>
  </si>
  <si>
    <t>ENG (PLNm)</t>
  </si>
  <si>
    <t>Rentowność segmentu</t>
  </si>
  <si>
    <t>Inne korekty</t>
  </si>
  <si>
    <t>Inne</t>
  </si>
  <si>
    <t>Other adjustments</t>
  </si>
  <si>
    <t xml:space="preserve">Other </t>
  </si>
  <si>
    <t>Przychody ze sprzedaży niezaalokowane do segmentu</t>
  </si>
  <si>
    <t>Q1 2022</t>
  </si>
  <si>
    <t>Q2 2022</t>
  </si>
  <si>
    <t>Q3 2022</t>
  </si>
  <si>
    <t>Q4 2022</t>
  </si>
  <si>
    <t>Revenue not allocated to segments</t>
  </si>
  <si>
    <t>Revenue</t>
  </si>
  <si>
    <t>CCC omnichannel</t>
  </si>
  <si>
    <t>eobuwie omnichannel</t>
  </si>
  <si>
    <t>Modivo omnichannel</t>
  </si>
  <si>
    <t>Gross profit (loss)</t>
  </si>
  <si>
    <t>Segment Profit (loss)</t>
  </si>
  <si>
    <t>Zysk (strata) segmentu</t>
  </si>
  <si>
    <t>Pozostale spółki</t>
  </si>
  <si>
    <t>Other companies</t>
  </si>
  <si>
    <t>FY 2022</t>
  </si>
  <si>
    <t>Zysk (strata) netto z działalności kontynuowanej</t>
  </si>
  <si>
    <t>   Other operating costs and revenue</t>
  </si>
  <si>
    <t>Net profit (loss) from continuing operations</t>
  </si>
  <si>
    <t>Zysk (strata) przed opodatkowaniem</t>
  </si>
  <si>
    <t>Profit (loss) before tax</t>
  </si>
  <si>
    <t xml:space="preserve">   Net financial income and costs </t>
  </si>
  <si>
    <t xml:space="preserve"> |-&gt; Data on continued operations (without CCC Russia)</t>
  </si>
  <si>
    <t>Zysk brutto ze sprzedaży</t>
  </si>
  <si>
    <t>Przychody ze sprzedaży od klientów zewnętrznych</t>
  </si>
  <si>
    <t>HalfPrice omnichannel</t>
  </si>
  <si>
    <t>INVENTORIES</t>
  </si>
  <si>
    <t>ZAPASY</t>
  </si>
  <si>
    <t>Zobowiązania z tytułu kredytów i obligacji</t>
  </si>
  <si>
    <t>Przepływy pieniężne przed zmianami w kapitale obrotowym</t>
  </si>
  <si>
    <t>* dane nie uwzględniają wyników CCC w Rosji
* data does not include CCC Russia results</t>
  </si>
  <si>
    <t>Q1 2021*</t>
  </si>
  <si>
    <t>Q2 2021*</t>
  </si>
  <si>
    <t>Q3 2021*</t>
  </si>
  <si>
    <t>−</t>
  </si>
  <si>
    <t>3 601,3</t>
  </si>
  <si>
    <t>2 691,1</t>
  </si>
  <si>
    <t>1 379,9</t>
  </si>
  <si>
    <t>6 481,4</t>
  </si>
  <si>
    <t>2 741,4</t>
  </si>
  <si>
    <t>3 740,0</t>
  </si>
  <si>
    <t>7 064,1</t>
  </si>
  <si>
    <t>3 462,8</t>
  </si>
  <si>
    <t>1 266,8</t>
  </si>
  <si>
    <t>1 389,5</t>
  </si>
  <si>
    <t>1 370,5</t>
  </si>
  <si>
    <t>1 155,7</t>
  </si>
  <si>
    <t>Q4 2021*</t>
  </si>
  <si>
    <t>FY 2021*</t>
  </si>
  <si>
    <t>Q1 2023</t>
  </si>
  <si>
    <t>Q2 2023</t>
  </si>
  <si>
    <t>Q3 2023</t>
  </si>
  <si>
    <t>Q4 2023</t>
  </si>
  <si>
    <t>FY 2023</t>
  </si>
  <si>
    <t>Latvia</t>
  </si>
  <si>
    <t>Lithuania</t>
  </si>
  <si>
    <t>Estonia</t>
  </si>
  <si>
    <t>Ukraine</t>
  </si>
  <si>
    <t>EBIT</t>
  </si>
  <si>
    <t>EBITDA</t>
  </si>
  <si>
    <t>Q1 2024</t>
  </si>
  <si>
    <t>Q2 2024</t>
  </si>
  <si>
    <t>Q3 2024</t>
  </si>
  <si>
    <t>Q4 2024</t>
  </si>
  <si>
    <t>FY 2024</t>
  </si>
  <si>
    <t>Boardriders</t>
  </si>
  <si>
    <t>Worldbox</t>
  </si>
  <si>
    <t>ONLINE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</si>
</sst>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3" formatCode="_-* #,##0.00_-;\-* #,##0.00_-;_-* &quot;-&quot;??_-;_-@_-"/>
    <numFmt numFmtId="164" formatCode="_-* #,##0.00\ _z_ł_-;\-* #,##0.00\ _z_ł_-;_-* &quot;-&quot;??\ _z_ł_-;_-@_-"/>
    <numFmt numFmtId="165" formatCode="_(#,##0.0_);_(\(#,##0.0\);_(&quot;-&quot;??_);_(@_)"/>
    <numFmt numFmtId="166" formatCode="0.0%"/>
    <numFmt numFmtId="167" formatCode="#,##0.0"/>
    <numFmt numFmtId="168" formatCode="0.0"/>
    <numFmt numFmtId="169" formatCode="_(#,##0_);_(\(#,##0\);_(&quot;-&quot;??_);_(@_)"/>
    <numFmt numFmtId="170" formatCode="_-* #,##0.0\ _z_ł_-;\-* #,##0.0\ _z_ł_-;_-* &quot;-&quot;??\ _z_ł_-;_-@_-"/>
    <numFmt numFmtId="171" formatCode="_-* #,##0.0_-;\-* #,##0.0_-;_-* &quot;-&quot;??_-;_-@_-"/>
    <numFmt numFmtId="172" formatCode="_-* #,##0_-;\-* #,##0_-;_-* &quot;-&quot;??_-;_-@_-"/>
    <numFmt numFmtId="173" formatCode="_-* #,##0.0\ _z_ł_-;\-* #,##0.0\ _z_ł_-;_-* &quot;-&quot;?\ _z_ł_-;_-@_-"/>
    <numFmt numFmtId="174" formatCode="#,##0.0_);\(#,##0.0\);#,##0.0_);@_)"/>
  </numFmts>
  <fonts count="6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9"/>
      <name val="Myriad Pro SemiCondensed"/>
      <charset val="238"/>
    </font>
    <font>
      <b/>
      <sz val="9"/>
      <name val="Myriad Pro SemiCondensed"/>
      <charset val="238"/>
    </font>
    <font>
      <b/>
      <sz val="11"/>
      <color theme="1"/>
      <name val="Calibri"/>
      <family val="2"/>
      <charset val="238"/>
      <scheme val="minor"/>
    </font>
    <font>
      <i/>
      <sz val="9"/>
      <name val="Myriad Pro SemiCondensed"/>
      <charset val="238"/>
    </font>
    <font>
      <b/>
      <sz val="12"/>
      <color theme="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2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8"/>
      <color rgb="FFFA551E"/>
      <name val="Calibri"/>
      <family val="2"/>
      <charset val="238"/>
      <scheme val="minor"/>
    </font>
    <font>
      <b/>
      <sz val="12"/>
      <name val="Myriad Pro SemiCondensed"/>
      <charset val="238"/>
    </font>
    <font>
      <sz val="11"/>
      <color theme="1"/>
      <name val="Calibri"/>
      <family val="2"/>
      <scheme val="minor"/>
    </font>
    <font>
      <b/>
      <i/>
      <sz val="12"/>
      <color theme="1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i/>
      <sz val="9"/>
      <color theme="1"/>
      <name val="Calibri"/>
      <family val="2"/>
      <charset val="238"/>
    </font>
    <font>
      <sz val="8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name val="Myriad Pro SemiCondensed"/>
      <charset val="238"/>
    </font>
    <font>
      <vertAlign val="superscript"/>
      <sz val="11"/>
      <color theme="1"/>
      <name val="Calibri"/>
      <family val="2"/>
      <charset val="238"/>
      <scheme val="minor"/>
    </font>
    <font>
      <i/>
      <sz val="10"/>
      <color theme="0" tint="-0.249977111117893"/>
      <name val="Calibri"/>
      <family val="2"/>
      <scheme val="minor"/>
    </font>
    <font>
      <b/>
      <i/>
      <sz val="10"/>
      <color theme="0" tint="-0.249977111117893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i/>
      <sz val="9"/>
      <color theme="0" tint="-0.249977111117893"/>
      <name val="Calibri"/>
      <family val="2"/>
      <scheme val="minor"/>
    </font>
    <font>
      <b/>
      <i/>
      <sz val="9"/>
      <color theme="0" tint="-0.249977111117893"/>
      <name val="Calibri"/>
      <family val="2"/>
      <scheme val="minor"/>
    </font>
    <font>
      <sz val="9"/>
      <color theme="0" tint="-0.249977111117893"/>
      <name val="Calibri"/>
      <family val="2"/>
      <scheme val="minor"/>
    </font>
    <font>
      <b/>
      <sz val="18"/>
      <color theme="1"/>
      <name val="Calibri"/>
      <family val="2"/>
      <charset val="238"/>
      <scheme val="minor"/>
    </font>
    <font>
      <sz val="16"/>
      <color theme="1"/>
      <name val="Calibri"/>
      <family val="2"/>
      <scheme val="minor"/>
    </font>
    <font>
      <b/>
      <sz val="16"/>
      <color theme="0" tint="-0.499984740745262"/>
      <name val="Calibri"/>
      <family val="2"/>
      <scheme val="minor"/>
    </font>
    <font>
      <sz val="16"/>
      <color theme="0" tint="-0.499984740745262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Myriad Pro SemiCondensed"/>
      <charset val="238"/>
    </font>
    <font>
      <b/>
      <sz val="9"/>
      <color theme="1"/>
      <name val="Myriad Pro SemiCondensed"/>
      <charset val="238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sz val="11"/>
      <color rgb="FFFFFF00"/>
      <name val="Calibri"/>
      <family val="2"/>
      <scheme val="minor"/>
    </font>
    <font>
      <b/>
      <i/>
      <sz val="10"/>
      <color rgb="FFFFFF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9"/>
      <color theme="1"/>
      <name val="Myriad Pro SemiCondensed"/>
      <charset val="238"/>
    </font>
    <font>
      <b/>
      <sz val="18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34998626667073579"/>
        <bgColor indexed="64"/>
      </patternFill>
    </fill>
  </fills>
  <borders count="158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n">
        <color theme="0" tint="-0.499984740745262"/>
      </left>
      <right style="thick">
        <color auto="1"/>
      </right>
      <top style="thin">
        <color theme="0" tint="-0.499984740745262"/>
      </top>
      <bottom style="thick">
        <color theme="0" tint="-0.499984740745262"/>
      </bottom>
      <diagonal/>
    </border>
    <border>
      <left style="thick">
        <color auto="1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thick">
        <color auto="1"/>
      </left>
      <right/>
      <top style="thin">
        <color theme="0" tint="-0.499984740745262"/>
      </top>
      <bottom style="thick">
        <color theme="0" tint="-0.499984740745262"/>
      </bottom>
      <diagonal/>
    </border>
    <border>
      <left style="thick">
        <color auto="1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ck">
        <color auto="1"/>
      </right>
      <top/>
      <bottom style="thin">
        <color theme="0" tint="-0.499984740745262"/>
      </bottom>
      <diagonal/>
    </border>
    <border>
      <left style="thick">
        <color auto="1"/>
      </left>
      <right style="thin">
        <color indexed="64"/>
      </right>
      <top style="thick">
        <color theme="0" tint="-0.499984740745262"/>
      </top>
      <bottom/>
      <diagonal/>
    </border>
    <border>
      <left style="thick">
        <color auto="1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ck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ck">
        <color theme="0" tint="-0.499984740745262"/>
      </bottom>
      <diagonal/>
    </border>
    <border>
      <left/>
      <right style="thin">
        <color indexed="64"/>
      </right>
      <top style="thick">
        <color theme="0" tint="-0.499984740745262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/>
      <bottom style="thin">
        <color theme="0" tint="-0.499984740745262"/>
      </bottom>
      <diagonal/>
    </border>
    <border>
      <left/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indexed="64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ck">
        <color theme="0" tint="-0.499984740745262"/>
      </top>
      <bottom style="medium">
        <color auto="1"/>
      </bottom>
      <diagonal/>
    </border>
    <border>
      <left style="thin">
        <color theme="0" tint="-0.499984740745262"/>
      </left>
      <right style="thin">
        <color indexed="64"/>
      </right>
      <top/>
      <bottom style="medium">
        <color auto="1"/>
      </bottom>
      <diagonal/>
    </border>
    <border>
      <left style="thin">
        <color theme="0" tint="-0.499984740745262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 style="thin">
        <color theme="0" tint="-0.34998626667073579"/>
      </top>
      <bottom style="medium">
        <color auto="1"/>
      </bottom>
      <diagonal/>
    </border>
    <border>
      <left/>
      <right style="thin">
        <color indexed="64"/>
      </right>
      <top/>
      <bottom style="medium">
        <color auto="1"/>
      </bottom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/>
      <right/>
      <top style="thick">
        <color theme="0" tint="-0.499984740745262"/>
      </top>
      <bottom style="medium">
        <color auto="1"/>
      </bottom>
      <diagonal/>
    </border>
    <border>
      <left style="thin">
        <color indexed="64"/>
      </left>
      <right style="thick">
        <color indexed="64"/>
      </right>
      <top/>
      <bottom style="thick">
        <color theme="0" tint="-0.499984740745262"/>
      </bottom>
      <diagonal/>
    </border>
    <border>
      <left style="thin">
        <color indexed="64"/>
      </left>
      <right style="thick">
        <color indexed="64"/>
      </right>
      <top style="thick">
        <color theme="0" tint="-0.499984740745262"/>
      </top>
      <bottom style="medium">
        <color auto="1"/>
      </bottom>
      <diagonal/>
    </border>
    <border>
      <left style="thin">
        <color indexed="64"/>
      </left>
      <right style="thick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ck">
        <color indexed="64"/>
      </right>
      <top style="thin">
        <color theme="0" tint="-0.34998626667073579"/>
      </top>
      <bottom style="medium">
        <color auto="1"/>
      </bottom>
      <diagonal/>
    </border>
    <border>
      <left style="thick">
        <color indexed="64"/>
      </left>
      <right style="thin">
        <color indexed="64"/>
      </right>
      <top style="thin">
        <color theme="0" tint="-0.499984740745262"/>
      </top>
      <bottom style="thick">
        <color theme="0" tint="-0.499984740745262"/>
      </bottom>
      <diagonal/>
    </border>
    <border>
      <left style="thick">
        <color indexed="64"/>
      </left>
      <right style="thin">
        <color indexed="64"/>
      </right>
      <top style="thick">
        <color theme="0" tint="-0.499984740745262"/>
      </top>
      <bottom style="medium">
        <color auto="1"/>
      </bottom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 style="thick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ck">
        <color theme="0" tint="-0.499984740745262"/>
      </top>
      <bottom style="medium">
        <color auto="1"/>
      </bottom>
      <diagonal/>
    </border>
    <border>
      <left/>
      <right/>
      <top style="thin">
        <color theme="0" tint="-0.499984740745262"/>
      </top>
      <bottom style="thick">
        <color theme="0" tint="-0.499984740745262"/>
      </bottom>
      <diagonal/>
    </border>
    <border>
      <left style="thin">
        <color indexed="64"/>
      </left>
      <right style="medium">
        <color indexed="64"/>
      </right>
      <top style="thin">
        <color theme="0" tint="-0.499984740745262"/>
      </top>
      <bottom style="thick">
        <color theme="0" tint="-0.499984740745262"/>
      </bottom>
      <diagonal/>
    </border>
    <border>
      <left style="thin">
        <color indexed="64"/>
      </left>
      <right style="medium">
        <color indexed="64"/>
      </right>
      <top style="thick">
        <color theme="0" tint="-0.499984740745262"/>
      </top>
      <bottom style="medium">
        <color auto="1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indexed="64"/>
      </right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1"/>
      </left>
      <right style="dashed">
        <color theme="0" tint="-0.14996795556505021"/>
      </right>
      <top style="thin">
        <color theme="1"/>
      </top>
      <bottom/>
      <diagonal/>
    </border>
    <border>
      <left style="thin">
        <color theme="1"/>
      </left>
      <right style="dashed">
        <color theme="0" tint="-0.14996795556505021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indexed="64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indexed="64"/>
      </right>
      <top/>
      <bottom style="thin">
        <color theme="2" tint="-0.24994659260841701"/>
      </bottom>
      <diagonal/>
    </border>
    <border>
      <left/>
      <right style="thin">
        <color theme="0" tint="-0.499984740745262"/>
      </right>
      <top/>
      <bottom style="thin">
        <color theme="2" tint="-0.24994659260841701"/>
      </bottom>
      <diagonal/>
    </border>
    <border>
      <left/>
      <right style="thin">
        <color indexed="64"/>
      </right>
      <top/>
      <bottom style="thin">
        <color theme="2" tint="-0.24994659260841701"/>
      </bottom>
      <diagonal/>
    </border>
    <border>
      <left style="thin">
        <color indexed="64"/>
      </left>
      <right style="thin">
        <color auto="1"/>
      </right>
      <top/>
      <bottom style="thin">
        <color theme="2" tint="-0.24994659260841701"/>
      </bottom>
      <diagonal/>
    </border>
    <border>
      <left style="thin">
        <color theme="0" tint="-0.499984740745262"/>
      </left>
      <right style="thin">
        <color indexed="64"/>
      </right>
      <top style="thin">
        <color theme="2" tint="-0.24994659260841701"/>
      </top>
      <bottom style="thin">
        <color theme="1"/>
      </bottom>
      <diagonal/>
    </border>
    <border>
      <left style="thin">
        <color auto="1"/>
      </left>
      <right style="thin">
        <color auto="1"/>
      </right>
      <top style="thin">
        <color theme="2" tint="-0.24994659260841701"/>
      </top>
      <bottom style="thin">
        <color theme="1"/>
      </bottom>
      <diagonal/>
    </border>
    <border>
      <left style="thin">
        <color theme="0" tint="-0.499984740745262"/>
      </left>
      <right style="thin">
        <color auto="1"/>
      </right>
      <top style="thin">
        <color theme="1"/>
      </top>
      <bottom/>
      <diagonal/>
    </border>
    <border>
      <left style="thin">
        <color auto="1"/>
      </left>
      <right style="thin">
        <color auto="1"/>
      </right>
      <top style="thin">
        <color theme="1"/>
      </top>
      <bottom/>
      <diagonal/>
    </border>
    <border>
      <left style="thin">
        <color indexed="64"/>
      </left>
      <right style="thin">
        <color theme="0" tint="-0.499984740745262"/>
      </right>
      <top/>
      <bottom/>
      <diagonal/>
    </border>
    <border>
      <left style="thin">
        <color indexed="64"/>
      </left>
      <right style="thin">
        <color theme="0" tint="-0.499984740745262"/>
      </right>
      <top/>
      <bottom style="thin">
        <color theme="2" tint="-0.24994659260841701"/>
      </bottom>
      <diagonal/>
    </border>
    <border>
      <left style="thin">
        <color indexed="64"/>
      </left>
      <right style="thin">
        <color theme="0" tint="-0.499984740745262"/>
      </right>
      <top/>
      <bottom style="thin">
        <color indexed="64"/>
      </bottom>
      <diagonal/>
    </border>
    <border>
      <left/>
      <right/>
      <top/>
      <bottom style="thin">
        <color theme="2" tint="-0.24994659260841701"/>
      </bottom>
      <diagonal/>
    </border>
    <border>
      <left style="thin">
        <color theme="1"/>
      </left>
      <right style="dashed">
        <color theme="0" tint="-0.14996795556505021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/>
      <top style="thick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theme="0" tint="-0.34998626667073579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ck">
        <color auto="1"/>
      </right>
      <top/>
      <bottom style="thick">
        <color theme="1"/>
      </bottom>
      <diagonal/>
    </border>
    <border>
      <left/>
      <right/>
      <top/>
      <bottom style="thick">
        <color theme="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1"/>
      </bottom>
      <diagonal/>
    </border>
    <border>
      <left style="thick">
        <color auto="1"/>
      </left>
      <right style="thin">
        <color theme="0" tint="-0.499984740745262"/>
      </right>
      <top style="thin">
        <color theme="0" tint="-0.499984740745262"/>
      </top>
      <bottom style="thick">
        <color theme="1"/>
      </bottom>
      <diagonal/>
    </border>
    <border>
      <left style="thin">
        <color theme="0" tint="-0.499984740745262"/>
      </left>
      <right style="thick">
        <color auto="1"/>
      </right>
      <top style="thin">
        <color theme="0" tint="-0.499984740745262"/>
      </top>
      <bottom style="thick">
        <color theme="1"/>
      </bottom>
      <diagonal/>
    </border>
    <border>
      <left/>
      <right style="thin">
        <color auto="1"/>
      </right>
      <top/>
      <bottom style="thick">
        <color theme="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ck">
        <color theme="1"/>
      </bottom>
      <diagonal/>
    </border>
    <border>
      <left style="thin">
        <color theme="0" tint="-0.499984740745262"/>
      </left>
      <right style="thin">
        <color auto="1"/>
      </right>
      <top style="thin">
        <color auto="1"/>
      </top>
      <bottom style="thick">
        <color theme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theme="1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ck">
        <color theme="1"/>
      </bottom>
      <diagonal/>
    </border>
    <border>
      <left style="thin">
        <color theme="0" tint="-0.499984740745262"/>
      </left>
      <right style="thin">
        <color indexed="64"/>
      </right>
      <top/>
      <bottom style="thick">
        <color theme="1"/>
      </bottom>
      <diagonal/>
    </border>
    <border>
      <left style="thin">
        <color auto="1"/>
      </left>
      <right style="thin">
        <color auto="1"/>
      </right>
      <top/>
      <bottom style="thick">
        <color theme="1"/>
      </bottom>
      <diagonal/>
    </border>
    <border>
      <left style="dashed">
        <color theme="0" tint="-0.14996795556505021"/>
      </left>
      <right style="thin">
        <color theme="0" tint="-0.499984740745262"/>
      </right>
      <top/>
      <bottom style="thick">
        <color theme="1"/>
      </bottom>
      <diagonal/>
    </border>
    <border>
      <left/>
      <right style="thin">
        <color theme="0" tint="-0.499984740745262"/>
      </right>
      <top/>
      <bottom style="thick">
        <color theme="1"/>
      </bottom>
      <diagonal/>
    </border>
    <border>
      <left style="thin">
        <color indexed="64"/>
      </left>
      <right style="thin">
        <color theme="0" tint="-0.499984740745262"/>
      </right>
      <top/>
      <bottom style="thick">
        <color theme="1"/>
      </bottom>
      <diagonal/>
    </border>
    <border>
      <left style="thin">
        <color indexed="64"/>
      </left>
      <right/>
      <top/>
      <bottom style="thick">
        <color theme="1"/>
      </bottom>
      <diagonal/>
    </border>
    <border>
      <left style="thin">
        <color theme="0" tint="-0.499984740745262"/>
      </left>
      <right/>
      <top/>
      <bottom style="thick">
        <color theme="1"/>
      </bottom>
      <diagonal/>
    </border>
    <border>
      <left style="thick">
        <color indexed="64"/>
      </left>
      <right style="thin">
        <color indexed="64"/>
      </right>
      <top/>
      <bottom style="thick">
        <color theme="1"/>
      </bottom>
      <diagonal/>
    </border>
    <border>
      <left style="thin">
        <color indexed="64"/>
      </left>
      <right/>
      <top style="thick">
        <color theme="1"/>
      </top>
      <bottom style="medium">
        <color theme="0" tint="-0.34998626667073579"/>
      </bottom>
      <diagonal/>
    </border>
    <border>
      <left style="thick">
        <color auto="1"/>
      </left>
      <right style="thin">
        <color indexed="64"/>
      </right>
      <top style="thick">
        <color theme="1"/>
      </top>
      <bottom style="medium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ck">
        <color theme="1"/>
      </top>
      <bottom style="medium">
        <color theme="0" tint="-0.34998626667073579"/>
      </bottom>
      <diagonal/>
    </border>
    <border>
      <left/>
      <right style="thick">
        <color auto="1"/>
      </right>
      <top style="thick">
        <color theme="1"/>
      </top>
      <bottom style="medium">
        <color theme="0" tint="-0.34998626667073579"/>
      </bottom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 style="thick">
        <color theme="1"/>
      </bottom>
      <diagonal/>
    </border>
    <border>
      <left style="thin">
        <color indexed="64"/>
      </left>
      <right style="medium">
        <color indexed="64"/>
      </right>
      <top/>
      <bottom style="thick">
        <color theme="1"/>
      </bottom>
      <diagonal/>
    </border>
    <border>
      <left style="thin">
        <color indexed="64"/>
      </left>
      <right style="thick">
        <color indexed="64"/>
      </right>
      <top/>
      <bottom style="thick">
        <color theme="1"/>
      </bottom>
      <diagonal/>
    </border>
    <border>
      <left style="thin">
        <color theme="0" tint="-0.499984740745262"/>
      </left>
      <right style="thin">
        <color indexed="64"/>
      </right>
      <top style="thin">
        <color theme="0" tint="-0.34998626667073579"/>
      </top>
      <bottom style="thick">
        <color theme="1"/>
      </bottom>
      <diagonal/>
    </border>
    <border>
      <left style="thin">
        <color indexed="64"/>
      </left>
      <right style="thick">
        <color indexed="64"/>
      </right>
      <top style="thin">
        <color theme="0" tint="-0.34998626667073579"/>
      </top>
      <bottom style="thick">
        <color theme="1"/>
      </bottom>
      <diagonal/>
    </border>
    <border>
      <left/>
      <right style="thin">
        <color indexed="64"/>
      </right>
      <top style="thin">
        <color theme="0" tint="-0.499984740745262"/>
      </top>
      <bottom style="thick">
        <color theme="0" tint="-0.499984740745262"/>
      </bottom>
      <diagonal/>
    </border>
    <border>
      <left style="thin">
        <color indexed="64"/>
      </left>
      <right style="thick">
        <color indexed="64"/>
      </right>
      <top/>
      <bottom style="thin">
        <color theme="0" tint="-0.499984740745262"/>
      </bottom>
      <diagonal/>
    </border>
    <border>
      <left style="thin">
        <color indexed="64"/>
      </left>
      <right style="thick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ck">
        <color indexed="64"/>
      </right>
      <top style="thin">
        <color theme="0" tint="-0.499984740745262"/>
      </top>
      <bottom style="thick">
        <color theme="1"/>
      </bottom>
      <diagonal/>
    </border>
    <border>
      <left style="thin">
        <color indexed="64"/>
      </left>
      <right style="thick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 style="thick">
        <color indexed="64"/>
      </right>
      <top/>
      <bottom style="thin">
        <color theme="0" tint="-0.34998626667073579"/>
      </bottom>
      <diagonal/>
    </border>
    <border>
      <left style="thin">
        <color indexed="64"/>
      </left>
      <right style="thick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ck">
        <color indexed="64"/>
      </right>
      <top style="thin">
        <color theme="0" tint="-0.34998626667073579"/>
      </top>
      <bottom/>
      <diagonal/>
    </border>
    <border>
      <left style="medium">
        <color theme="1"/>
      </left>
      <right style="medium">
        <color theme="1"/>
      </right>
      <top style="thin">
        <color theme="0" tint="-0.499984740745262"/>
      </top>
      <bottom style="thick">
        <color theme="0" tint="-0.499984740745262"/>
      </bottom>
      <diagonal/>
    </border>
    <border>
      <left style="medium">
        <color theme="1"/>
      </left>
      <right style="medium">
        <color theme="1"/>
      </right>
      <top style="thick">
        <color theme="0" tint="-0.499984740745262"/>
      </top>
      <bottom style="medium">
        <color auto="1"/>
      </bottom>
      <diagonal/>
    </border>
    <border>
      <left style="medium">
        <color theme="1"/>
      </left>
      <right style="medium">
        <color theme="1"/>
      </right>
      <top/>
      <bottom/>
      <diagonal/>
    </border>
    <border>
      <left style="medium">
        <color theme="1"/>
      </left>
      <right style="medium">
        <color theme="1"/>
      </right>
      <top/>
      <bottom style="medium">
        <color indexed="64"/>
      </bottom>
      <diagonal/>
    </border>
    <border>
      <left style="medium">
        <color theme="1"/>
      </left>
      <right style="medium">
        <color theme="1"/>
      </right>
      <top style="medium">
        <color auto="1"/>
      </top>
      <bottom style="medium">
        <color auto="1"/>
      </bottom>
      <diagonal/>
    </border>
    <border>
      <left style="medium">
        <color theme="1"/>
      </left>
      <right style="medium">
        <color theme="1"/>
      </right>
      <top/>
      <bottom style="thick">
        <color theme="1"/>
      </bottom>
      <diagonal/>
    </border>
    <border>
      <left style="thin">
        <color theme="0" tint="-0.499984740745262"/>
      </left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medium">
        <color auto="1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medium">
        <color auto="1"/>
      </left>
      <right style="thin">
        <color theme="0" tint="-0.499984740745262"/>
      </right>
      <top style="medium">
        <color auto="1"/>
      </top>
      <bottom style="thick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auto="1"/>
      </top>
      <bottom style="thick">
        <color theme="0" tint="-0.499984740745262"/>
      </bottom>
      <diagonal/>
    </border>
    <border>
      <left style="thin">
        <color theme="0" tint="-0.499984740745262"/>
      </left>
      <right style="medium">
        <color auto="1"/>
      </right>
      <top style="medium">
        <color auto="1"/>
      </top>
      <bottom style="thick">
        <color theme="0" tint="-0.499984740745262"/>
      </bottom>
      <diagonal/>
    </border>
    <border>
      <left style="medium">
        <color auto="1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auto="1"/>
      </right>
      <top style="thick">
        <color theme="0" tint="-0.499984740745262"/>
      </top>
      <bottom style="thin">
        <color theme="0" tint="-0.499984740745262"/>
      </bottom>
      <diagonal/>
    </border>
    <border>
      <left style="medium">
        <color auto="1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medium">
        <color auto="1"/>
      </right>
      <top/>
      <bottom/>
      <diagonal/>
    </border>
    <border>
      <left style="thin">
        <color theme="0" tint="-0.499984740745262"/>
      </left>
      <right style="medium">
        <color auto="1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auto="1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auto="1"/>
      </right>
      <top/>
      <bottom style="thin">
        <color theme="0" tint="-0.499984740745262"/>
      </bottom>
      <diagonal/>
    </border>
    <border>
      <left style="medium">
        <color auto="1"/>
      </left>
      <right style="thin">
        <color theme="0" tint="-0.499984740745262"/>
      </right>
      <top/>
      <bottom style="medium">
        <color auto="1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medium">
        <color auto="1"/>
      </bottom>
      <diagonal/>
    </border>
    <border>
      <left style="thin">
        <color theme="0" tint="-0.499984740745262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ck">
        <color theme="0" tint="-0.499984740745262"/>
      </bottom>
      <diagonal/>
    </border>
    <border>
      <left style="medium">
        <color auto="1"/>
      </left>
      <right style="medium">
        <color auto="1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auto="1"/>
      </left>
      <right style="medium">
        <color auto="1"/>
      </right>
      <top/>
      <bottom style="thin">
        <color theme="0" tint="-0.499984740745262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thick">
        <color theme="0" tint="-0.499984740745262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theme="1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auto="1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/>
      <bottom style="medium">
        <color auto="1"/>
      </bottom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ck">
        <color theme="1"/>
      </top>
      <bottom/>
      <diagonal/>
    </border>
    <border>
      <left style="thin">
        <color theme="0" tint="-0.499984740745262"/>
      </left>
      <right style="medium">
        <color auto="1"/>
      </right>
      <top style="medium">
        <color auto="1"/>
      </top>
      <bottom style="thin">
        <color theme="0" tint="-0.499984740745262"/>
      </bottom>
      <diagonal/>
    </border>
  </borders>
  <cellStyleXfs count="15">
    <xf numFmtId="0" fontId="0" fillId="0" borderId="0"/>
    <xf numFmtId="0" fontId="19" fillId="0" borderId="0"/>
    <xf numFmtId="9" fontId="33" fillId="0" borderId="0" applyFont="0" applyFill="0" applyBorder="0" applyAlignment="0" applyProtection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164" fontId="33" fillId="0" borderId="0" applyFont="0" applyFill="0" applyBorder="0" applyAlignment="0" applyProtection="0"/>
    <xf numFmtId="0" fontId="13" fillId="0" borderId="0"/>
    <xf numFmtId="0" fontId="11" fillId="0" borderId="0"/>
    <xf numFmtId="0" fontId="10" fillId="0" borderId="0"/>
    <xf numFmtId="0" fontId="10" fillId="0" borderId="0"/>
    <xf numFmtId="43" fontId="33" fillId="0" borderId="0" applyFont="0" applyFill="0" applyBorder="0" applyAlignment="0" applyProtection="0"/>
    <xf numFmtId="0" fontId="6" fillId="0" borderId="0"/>
  </cellStyleXfs>
  <cellXfs count="620">
    <xf numFmtId="0" fontId="0" fillId="0" borderId="0" xfId="0"/>
    <xf numFmtId="0" fontId="0" fillId="0" borderId="1" xfId="0" applyBorder="1"/>
    <xf numFmtId="0" fontId="0" fillId="0" borderId="2" xfId="0" applyBorder="1"/>
    <xf numFmtId="167" fontId="0" fillId="0" borderId="0" xfId="0" applyNumberFormat="1"/>
    <xf numFmtId="4" fontId="0" fillId="0" borderId="0" xfId="0" applyNumberFormat="1"/>
    <xf numFmtId="0" fontId="0" fillId="2" borderId="0" xfId="0" applyFill="1"/>
    <xf numFmtId="167" fontId="0" fillId="0" borderId="0" xfId="0" applyNumberFormat="1" applyAlignment="1">
      <alignment horizontal="center" vertical="center"/>
    </xf>
    <xf numFmtId="165" fontId="20" fillId="3" borderId="4" xfId="1" applyNumberFormat="1" applyFont="1" applyFill="1" applyBorder="1" applyAlignment="1">
      <alignment horizontal="center" vertical="center" wrapText="1"/>
    </xf>
    <xf numFmtId="166" fontId="23" fillId="3" borderId="4" xfId="1" applyNumberFormat="1" applyFont="1" applyFill="1" applyBorder="1" applyAlignment="1">
      <alignment horizontal="center" vertical="center" wrapText="1"/>
    </xf>
    <xf numFmtId="165" fontId="20" fillId="3" borderId="5" xfId="1" applyNumberFormat="1" applyFont="1" applyFill="1" applyBorder="1" applyAlignment="1">
      <alignment horizontal="center" vertical="center" wrapText="1"/>
    </xf>
    <xf numFmtId="165" fontId="20" fillId="3" borderId="3" xfId="1" applyNumberFormat="1" applyFont="1" applyFill="1" applyBorder="1" applyAlignment="1">
      <alignment horizontal="center" vertical="center" wrapText="1"/>
    </xf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/>
    <xf numFmtId="0" fontId="0" fillId="2" borderId="10" xfId="0" applyFill="1" applyBorder="1"/>
    <xf numFmtId="0" fontId="0" fillId="2" borderId="11" xfId="0" applyFill="1" applyBorder="1"/>
    <xf numFmtId="0" fontId="0" fillId="2" borderId="12" xfId="0" applyFill="1" applyBorder="1"/>
    <xf numFmtId="0" fontId="0" fillId="2" borderId="13" xfId="0" applyFill="1" applyBorder="1"/>
    <xf numFmtId="166" fontId="23" fillId="2" borderId="4" xfId="1" applyNumberFormat="1" applyFont="1" applyFill="1" applyBorder="1" applyAlignment="1">
      <alignment horizontal="center" vertical="center" wrapText="1"/>
    </xf>
    <xf numFmtId="165" fontId="20" fillId="2" borderId="4" xfId="1" applyNumberFormat="1" applyFont="1" applyFill="1" applyBorder="1" applyAlignment="1">
      <alignment horizontal="center" vertical="center" wrapText="1"/>
    </xf>
    <xf numFmtId="165" fontId="20" fillId="2" borderId="5" xfId="1" applyNumberFormat="1" applyFont="1" applyFill="1" applyBorder="1" applyAlignment="1">
      <alignment horizontal="center" vertical="center" wrapText="1"/>
    </xf>
    <xf numFmtId="0" fontId="0" fillId="4" borderId="14" xfId="0" applyFill="1" applyBorder="1"/>
    <xf numFmtId="0" fontId="22" fillId="4" borderId="15" xfId="0" applyFont="1" applyFill="1" applyBorder="1" applyAlignment="1">
      <alignment horizontal="center"/>
    </xf>
    <xf numFmtId="0" fontId="22" fillId="4" borderId="15" xfId="0" applyFont="1" applyFill="1" applyBorder="1" applyAlignment="1">
      <alignment horizontal="center" vertical="center"/>
    </xf>
    <xf numFmtId="0" fontId="22" fillId="4" borderId="16" xfId="0" applyFont="1" applyFill="1" applyBorder="1" applyAlignment="1">
      <alignment horizontal="center" vertical="center"/>
    </xf>
    <xf numFmtId="0" fontId="22" fillId="4" borderId="19" xfId="0" applyFont="1" applyFill="1" applyBorder="1" applyAlignment="1">
      <alignment horizontal="center" vertical="center"/>
    </xf>
    <xf numFmtId="0" fontId="22" fillId="4" borderId="20" xfId="0" applyFont="1" applyFill="1" applyBorder="1" applyAlignment="1">
      <alignment horizontal="center" vertical="center"/>
    </xf>
    <xf numFmtId="14" fontId="22" fillId="4" borderId="15" xfId="0" applyNumberFormat="1" applyFont="1" applyFill="1" applyBorder="1" applyAlignment="1">
      <alignment horizontal="center" vertical="center"/>
    </xf>
    <xf numFmtId="14" fontId="22" fillId="4" borderId="19" xfId="0" applyNumberFormat="1" applyFont="1" applyFill="1" applyBorder="1" applyAlignment="1">
      <alignment horizontal="center" vertical="center"/>
    </xf>
    <xf numFmtId="0" fontId="22" fillId="4" borderId="21" xfId="0" applyFont="1" applyFill="1" applyBorder="1" applyAlignment="1">
      <alignment horizontal="center" vertical="center"/>
    </xf>
    <xf numFmtId="0" fontId="22" fillId="0" borderId="42" xfId="0" applyFont="1" applyBorder="1"/>
    <xf numFmtId="0" fontId="22" fillId="0" borderId="43" xfId="0" applyFont="1" applyBorder="1"/>
    <xf numFmtId="0" fontId="22" fillId="0" borderId="44" xfId="0" applyFont="1" applyBorder="1"/>
    <xf numFmtId="0" fontId="22" fillId="0" borderId="49" xfId="0" applyFont="1" applyBorder="1"/>
    <xf numFmtId="0" fontId="22" fillId="4" borderId="50" xfId="0" applyFont="1" applyFill="1" applyBorder="1" applyAlignment="1">
      <alignment horizontal="center"/>
    </xf>
    <xf numFmtId="0" fontId="22" fillId="4" borderId="54" xfId="0" applyFont="1" applyFill="1" applyBorder="1" applyAlignment="1">
      <alignment horizontal="center"/>
    </xf>
    <xf numFmtId="0" fontId="22" fillId="4" borderId="56" xfId="0" applyFont="1" applyFill="1" applyBorder="1" applyAlignment="1">
      <alignment horizontal="center"/>
    </xf>
    <xf numFmtId="0" fontId="22" fillId="4" borderId="57" xfId="0" applyFont="1" applyFill="1" applyBorder="1" applyAlignment="1">
      <alignment horizontal="center"/>
    </xf>
    <xf numFmtId="165" fontId="20" fillId="2" borderId="28" xfId="1" applyNumberFormat="1" applyFont="1" applyFill="1" applyBorder="1" applyAlignment="1">
      <alignment horizontal="center" vertical="center" wrapText="1"/>
    </xf>
    <xf numFmtId="49" fontId="0" fillId="0" borderId="59" xfId="0" applyNumberFormat="1" applyBorder="1"/>
    <xf numFmtId="49" fontId="0" fillId="0" borderId="60" xfId="0" applyNumberFormat="1" applyBorder="1"/>
    <xf numFmtId="49" fontId="0" fillId="0" borderId="61" xfId="0" applyNumberFormat="1" applyBorder="1"/>
    <xf numFmtId="49" fontId="0" fillId="0" borderId="66" xfId="0" applyNumberFormat="1" applyBorder="1"/>
    <xf numFmtId="0" fontId="0" fillId="0" borderId="60" xfId="0" applyBorder="1"/>
    <xf numFmtId="3" fontId="0" fillId="0" borderId="0" xfId="0" applyNumberFormat="1"/>
    <xf numFmtId="3" fontId="0" fillId="0" borderId="61" xfId="0" applyNumberFormat="1" applyBorder="1"/>
    <xf numFmtId="3" fontId="0" fillId="0" borderId="74" xfId="0" applyNumberFormat="1" applyBorder="1"/>
    <xf numFmtId="3" fontId="0" fillId="0" borderId="67" xfId="0" applyNumberFormat="1" applyBorder="1"/>
    <xf numFmtId="3" fontId="0" fillId="0" borderId="68" xfId="0" applyNumberFormat="1" applyBorder="1"/>
    <xf numFmtId="3" fontId="0" fillId="0" borderId="75" xfId="0" applyNumberFormat="1" applyBorder="1"/>
    <xf numFmtId="3" fontId="0" fillId="0" borderId="72" xfId="0" applyNumberFormat="1" applyBorder="1"/>
    <xf numFmtId="3" fontId="0" fillId="0" borderId="73" xfId="0" applyNumberFormat="1" applyBorder="1"/>
    <xf numFmtId="3" fontId="0" fillId="0" borderId="28" xfId="0" applyNumberFormat="1" applyBorder="1"/>
    <xf numFmtId="3" fontId="0" fillId="0" borderId="67" xfId="0" applyNumberFormat="1" applyBorder="1" applyAlignment="1">
      <alignment horizontal="right"/>
    </xf>
    <xf numFmtId="3" fontId="22" fillId="0" borderId="71" xfId="0" applyNumberFormat="1" applyFont="1" applyBorder="1" applyAlignment="1">
      <alignment horizontal="center"/>
    </xf>
    <xf numFmtId="0" fontId="22" fillId="0" borderId="0" xfId="0" applyFont="1" applyAlignment="1">
      <alignment horizontal="center"/>
    </xf>
    <xf numFmtId="3" fontId="24" fillId="0" borderId="71" xfId="0" applyNumberFormat="1" applyFont="1" applyBorder="1" applyAlignment="1">
      <alignment horizontal="center" vertical="center"/>
    </xf>
    <xf numFmtId="0" fontId="0" fillId="6" borderId="0" xfId="0" applyFill="1"/>
    <xf numFmtId="0" fontId="24" fillId="6" borderId="0" xfId="0" applyFont="1" applyFill="1" applyAlignment="1">
      <alignment horizontal="center"/>
    </xf>
    <xf numFmtId="0" fontId="0" fillId="3" borderId="0" xfId="0" applyFill="1"/>
    <xf numFmtId="49" fontId="24" fillId="0" borderId="61" xfId="0" applyNumberFormat="1" applyFont="1" applyBorder="1"/>
    <xf numFmtId="1" fontId="24" fillId="0" borderId="61" xfId="0" applyNumberFormat="1" applyFont="1" applyBorder="1" applyAlignment="1">
      <alignment horizontal="right"/>
    </xf>
    <xf numFmtId="0" fontId="31" fillId="2" borderId="0" xfId="0" applyFont="1" applyFill="1" applyAlignment="1">
      <alignment horizontal="center" vertical="center" textRotation="90"/>
    </xf>
    <xf numFmtId="14" fontId="22" fillId="4" borderId="20" xfId="0" applyNumberFormat="1" applyFont="1" applyFill="1" applyBorder="1" applyAlignment="1">
      <alignment horizontal="center" vertical="center"/>
    </xf>
    <xf numFmtId="1" fontId="24" fillId="0" borderId="0" xfId="0" applyNumberFormat="1" applyFont="1" applyAlignment="1">
      <alignment horizontal="right"/>
    </xf>
    <xf numFmtId="166" fontId="0" fillId="0" borderId="0" xfId="2" applyNumberFormat="1" applyFont="1"/>
    <xf numFmtId="10" fontId="0" fillId="0" borderId="0" xfId="2" applyNumberFormat="1" applyFont="1"/>
    <xf numFmtId="14" fontId="22" fillId="4" borderId="15" xfId="0" applyNumberFormat="1" applyFont="1" applyFill="1" applyBorder="1" applyAlignment="1">
      <alignment horizontal="right" vertical="center"/>
    </xf>
    <xf numFmtId="3" fontId="37" fillId="0" borderId="0" xfId="0" applyNumberFormat="1" applyFont="1" applyAlignment="1">
      <alignment horizontal="center" vertical="center"/>
    </xf>
    <xf numFmtId="0" fontId="22" fillId="4" borderId="15" xfId="0" applyFont="1" applyFill="1" applyBorder="1" applyAlignment="1">
      <alignment horizontal="center" wrapText="1"/>
    </xf>
    <xf numFmtId="3" fontId="0" fillId="0" borderId="69" xfId="0" applyNumberFormat="1" applyBorder="1"/>
    <xf numFmtId="0" fontId="36" fillId="0" borderId="0" xfId="0" applyFont="1" applyAlignment="1">
      <alignment vertical="center" wrapText="1"/>
    </xf>
    <xf numFmtId="167" fontId="0" fillId="2" borderId="0" xfId="0" applyNumberFormat="1" applyFill="1" applyAlignment="1">
      <alignment horizontal="center" vertical="center"/>
    </xf>
    <xf numFmtId="165" fontId="20" fillId="2" borderId="81" xfId="1" applyNumberFormat="1" applyFont="1" applyFill="1" applyBorder="1" applyAlignment="1">
      <alignment horizontal="center" vertical="center" wrapText="1"/>
    </xf>
    <xf numFmtId="165" fontId="20" fillId="2" borderId="0" xfId="1" applyNumberFormat="1" applyFont="1" applyFill="1" applyAlignment="1">
      <alignment horizontal="center" vertical="center" wrapText="1"/>
    </xf>
    <xf numFmtId="165" fontId="20" fillId="2" borderId="27" xfId="1" applyNumberFormat="1" applyFont="1" applyFill="1" applyBorder="1" applyAlignment="1">
      <alignment horizontal="center" vertical="center" wrapText="1"/>
    </xf>
    <xf numFmtId="166" fontId="23" fillId="3" borderId="28" xfId="1" applyNumberFormat="1" applyFont="1" applyFill="1" applyBorder="1" applyAlignment="1">
      <alignment horizontal="center" vertical="center" wrapText="1"/>
    </xf>
    <xf numFmtId="165" fontId="20" fillId="3" borderId="28" xfId="1" applyNumberFormat="1" applyFont="1" applyFill="1" applyBorder="1" applyAlignment="1">
      <alignment horizontal="center" vertical="center" wrapText="1"/>
    </xf>
    <xf numFmtId="165" fontId="20" fillId="2" borderId="82" xfId="1" applyNumberFormat="1" applyFont="1" applyFill="1" applyBorder="1" applyAlignment="1">
      <alignment horizontal="center" vertical="center" wrapText="1"/>
    </xf>
    <xf numFmtId="165" fontId="20" fillId="3" borderId="27" xfId="1" applyNumberFormat="1" applyFont="1" applyFill="1" applyBorder="1" applyAlignment="1">
      <alignment horizontal="center" vertical="center" wrapText="1"/>
    </xf>
    <xf numFmtId="165" fontId="20" fillId="3" borderId="82" xfId="1" applyNumberFormat="1" applyFont="1" applyFill="1" applyBorder="1" applyAlignment="1">
      <alignment horizontal="center" vertical="center" wrapText="1"/>
    </xf>
    <xf numFmtId="0" fontId="43" fillId="2" borderId="0" xfId="0" applyFont="1" applyFill="1" applyAlignment="1">
      <alignment wrapText="1"/>
    </xf>
    <xf numFmtId="3" fontId="0" fillId="0" borderId="77" xfId="0" applyNumberFormat="1" applyBorder="1"/>
    <xf numFmtId="0" fontId="13" fillId="0" borderId="29" xfId="0" applyFont="1" applyBorder="1"/>
    <xf numFmtId="0" fontId="13" fillId="0" borderId="0" xfId="0" applyFont="1"/>
    <xf numFmtId="0" fontId="13" fillId="2" borderId="0" xfId="0" applyFont="1" applyFill="1"/>
    <xf numFmtId="0" fontId="13" fillId="4" borderId="30" xfId="0" applyFont="1" applyFill="1" applyBorder="1"/>
    <xf numFmtId="0" fontId="22" fillId="0" borderId="0" xfId="0" applyFont="1" applyAlignment="1">
      <alignment horizontal="center" vertical="center"/>
    </xf>
    <xf numFmtId="0" fontId="13" fillId="2" borderId="25" xfId="0" applyFont="1" applyFill="1" applyBorder="1" applyAlignment="1">
      <alignment horizontal="center" vertical="center"/>
    </xf>
    <xf numFmtId="0" fontId="13" fillId="2" borderId="27" xfId="0" applyFont="1" applyFill="1" applyBorder="1" applyAlignment="1">
      <alignment horizontal="center" vertical="center"/>
    </xf>
    <xf numFmtId="0" fontId="13" fillId="2" borderId="18" xfId="0" applyFont="1" applyFill="1" applyBorder="1" applyAlignment="1">
      <alignment horizontal="center" vertical="center"/>
    </xf>
    <xf numFmtId="0" fontId="13" fillId="2" borderId="31" xfId="0" applyFont="1" applyFill="1" applyBorder="1" applyAlignment="1">
      <alignment horizontal="center" vertical="center"/>
    </xf>
    <xf numFmtId="0" fontId="13" fillId="2" borderId="27" xfId="0" applyFont="1" applyFill="1" applyBorder="1" applyAlignment="1">
      <alignment horizontal="right" vertical="center"/>
    </xf>
    <xf numFmtId="0" fontId="13" fillId="2" borderId="26" xfId="0" applyFont="1" applyFill="1" applyBorder="1" applyAlignment="1">
      <alignment horizontal="center" vertical="center"/>
    </xf>
    <xf numFmtId="0" fontId="13" fillId="2" borderId="28" xfId="0" applyFont="1" applyFill="1" applyBorder="1" applyAlignment="1">
      <alignment horizontal="center" vertical="center"/>
    </xf>
    <xf numFmtId="170" fontId="13" fillId="2" borderId="18" xfId="8" applyNumberFormat="1" applyFont="1" applyFill="1" applyBorder="1" applyAlignment="1">
      <alignment horizontal="center" vertical="center"/>
    </xf>
    <xf numFmtId="170" fontId="13" fillId="2" borderId="29" xfId="8" applyNumberFormat="1" applyFont="1" applyFill="1" applyBorder="1" applyAlignment="1">
      <alignment horizontal="center" vertical="center"/>
    </xf>
    <xf numFmtId="170" fontId="13" fillId="2" borderId="28" xfId="8" applyNumberFormat="1" applyFont="1" applyFill="1" applyBorder="1" applyAlignment="1">
      <alignment horizontal="center" vertical="center"/>
    </xf>
    <xf numFmtId="170" fontId="13" fillId="2" borderId="26" xfId="8" applyNumberFormat="1" applyFont="1" applyFill="1" applyBorder="1" applyAlignment="1">
      <alignment horizontal="center" vertical="center"/>
    </xf>
    <xf numFmtId="170" fontId="13" fillId="2" borderId="26" xfId="8" applyNumberFormat="1" applyFont="1" applyFill="1" applyBorder="1" applyAlignment="1">
      <alignment horizontal="right" vertical="center" indent="1"/>
    </xf>
    <xf numFmtId="170" fontId="13" fillId="2" borderId="18" xfId="8" applyNumberFormat="1" applyFont="1" applyFill="1" applyBorder="1" applyAlignment="1">
      <alignment horizontal="right" vertical="center"/>
    </xf>
    <xf numFmtId="170" fontId="13" fillId="2" borderId="28" xfId="8" applyNumberFormat="1" applyFont="1" applyFill="1" applyBorder="1" applyAlignment="1">
      <alignment horizontal="right" vertical="center" indent="1"/>
    </xf>
    <xf numFmtId="164" fontId="13" fillId="2" borderId="26" xfId="8" applyFont="1" applyFill="1" applyBorder="1" applyAlignment="1">
      <alignment horizontal="center" vertical="center"/>
    </xf>
    <xf numFmtId="164" fontId="13" fillId="2" borderId="28" xfId="8" applyFont="1" applyFill="1" applyBorder="1" applyAlignment="1">
      <alignment horizontal="center" vertical="center"/>
    </xf>
    <xf numFmtId="170" fontId="13" fillId="2" borderId="28" xfId="8" applyNumberFormat="1" applyFont="1" applyFill="1" applyBorder="1" applyAlignment="1">
      <alignment horizontal="right" vertical="center"/>
    </xf>
    <xf numFmtId="0" fontId="13" fillId="2" borderId="0" xfId="0" applyFont="1" applyFill="1" applyAlignment="1">
      <alignment horizontal="right"/>
    </xf>
    <xf numFmtId="0" fontId="13" fillId="0" borderId="0" xfId="0" applyFont="1" applyAlignment="1">
      <alignment horizontal="right"/>
    </xf>
    <xf numFmtId="170" fontId="26" fillId="2" borderId="0" xfId="8" applyNumberFormat="1" applyFont="1" applyFill="1" applyBorder="1" applyAlignment="1">
      <alignment horizontal="center" vertical="center" wrapText="1"/>
    </xf>
    <xf numFmtId="170" fontId="26" fillId="2" borderId="26" xfId="8" applyNumberFormat="1" applyFont="1" applyFill="1" applyBorder="1" applyAlignment="1">
      <alignment horizontal="center" vertical="center" wrapText="1"/>
    </xf>
    <xf numFmtId="170" fontId="26" fillId="2" borderId="28" xfId="8" applyNumberFormat="1" applyFont="1" applyFill="1" applyBorder="1" applyAlignment="1">
      <alignment horizontal="center" vertical="center" wrapText="1"/>
    </xf>
    <xf numFmtId="170" fontId="26" fillId="2" borderId="33" xfId="8" applyNumberFormat="1" applyFont="1" applyFill="1" applyBorder="1" applyAlignment="1">
      <alignment horizontal="center" vertical="center" wrapText="1"/>
    </xf>
    <xf numFmtId="170" fontId="27" fillId="2" borderId="52" xfId="8" applyNumberFormat="1" applyFont="1" applyFill="1" applyBorder="1" applyAlignment="1">
      <alignment horizontal="center" vertical="center" wrapText="1"/>
    </xf>
    <xf numFmtId="170" fontId="27" fillId="2" borderId="53" xfId="8" applyNumberFormat="1" applyFont="1" applyFill="1" applyBorder="1" applyAlignment="1">
      <alignment horizontal="center" vertical="center" wrapText="1"/>
    </xf>
    <xf numFmtId="170" fontId="27" fillId="2" borderId="12" xfId="8" applyNumberFormat="1" applyFont="1" applyFill="1" applyBorder="1" applyAlignment="1">
      <alignment horizontal="center" vertical="center" wrapText="1"/>
    </xf>
    <xf numFmtId="170" fontId="27" fillId="2" borderId="32" xfId="8" applyNumberFormat="1" applyFont="1" applyFill="1" applyBorder="1" applyAlignment="1">
      <alignment horizontal="center" vertical="center" wrapText="1"/>
    </xf>
    <xf numFmtId="0" fontId="13" fillId="0" borderId="79" xfId="0" applyFont="1" applyBorder="1" applyAlignment="1">
      <alignment wrapText="1"/>
    </xf>
    <xf numFmtId="0" fontId="13" fillId="0" borderId="37" xfId="0" applyFont="1" applyBorder="1" applyAlignment="1">
      <alignment wrapText="1"/>
    </xf>
    <xf numFmtId="170" fontId="22" fillId="0" borderId="53" xfId="8" applyNumberFormat="1" applyFont="1" applyBorder="1" applyAlignment="1">
      <alignment horizontal="center" vertical="center"/>
    </xf>
    <xf numFmtId="170" fontId="22" fillId="0" borderId="52" xfId="8" applyNumberFormat="1" applyFont="1" applyBorder="1" applyAlignment="1">
      <alignment horizontal="center" vertical="center"/>
    </xf>
    <xf numFmtId="170" fontId="22" fillId="0" borderId="12" xfId="8" applyNumberFormat="1" applyFont="1" applyBorder="1" applyAlignment="1">
      <alignment horizontal="center" vertical="center"/>
    </xf>
    <xf numFmtId="170" fontId="22" fillId="0" borderId="32" xfId="8" applyNumberFormat="1" applyFont="1" applyBorder="1" applyAlignment="1">
      <alignment horizontal="center" vertical="center"/>
    </xf>
    <xf numFmtId="0" fontId="42" fillId="2" borderId="0" xfId="0" applyFont="1" applyFill="1"/>
    <xf numFmtId="3" fontId="0" fillId="0" borderId="29" xfId="0" applyNumberFormat="1" applyBorder="1"/>
    <xf numFmtId="49" fontId="0" fillId="0" borderId="61" xfId="0" applyNumberFormat="1" applyBorder="1" applyAlignment="1">
      <alignment horizontal="left" indent="1"/>
    </xf>
    <xf numFmtId="3" fontId="48" fillId="0" borderId="0" xfId="0" applyNumberFormat="1" applyFont="1" applyAlignment="1">
      <alignment horizontal="center" vertical="center"/>
    </xf>
    <xf numFmtId="3" fontId="47" fillId="0" borderId="0" xfId="0" applyNumberFormat="1" applyFont="1" applyAlignment="1">
      <alignment horizontal="center" vertical="center"/>
    </xf>
    <xf numFmtId="0" fontId="49" fillId="0" borderId="0" xfId="0" applyFont="1"/>
    <xf numFmtId="3" fontId="0" fillId="0" borderId="28" xfId="0" applyNumberFormat="1" applyBorder="1" applyAlignment="1">
      <alignment horizontal="center" vertical="center"/>
    </xf>
    <xf numFmtId="3" fontId="51" fillId="0" borderId="0" xfId="0" applyNumberFormat="1" applyFont="1" applyAlignment="1">
      <alignment horizontal="center" vertical="center"/>
    </xf>
    <xf numFmtId="0" fontId="0" fillId="4" borderId="86" xfId="0" applyFill="1" applyBorder="1"/>
    <xf numFmtId="14" fontId="22" fillId="4" borderId="87" xfId="0" applyNumberFormat="1" applyFont="1" applyFill="1" applyBorder="1" applyAlignment="1">
      <alignment horizontal="center"/>
    </xf>
    <xf numFmtId="0" fontId="22" fillId="4" borderId="87" xfId="0" applyFont="1" applyFill="1" applyBorder="1" applyAlignment="1">
      <alignment horizontal="center"/>
    </xf>
    <xf numFmtId="14" fontId="22" fillId="4" borderId="88" xfId="0" applyNumberFormat="1" applyFont="1" applyFill="1" applyBorder="1" applyAlignment="1">
      <alignment horizontal="center" vertical="center"/>
    </xf>
    <xf numFmtId="14" fontId="22" fillId="4" borderId="87" xfId="0" applyNumberFormat="1" applyFont="1" applyFill="1" applyBorder="1" applyAlignment="1">
      <alignment horizontal="center" vertical="center"/>
    </xf>
    <xf numFmtId="14" fontId="22" fillId="4" borderId="87" xfId="0" applyNumberFormat="1" applyFont="1" applyFill="1" applyBorder="1" applyAlignment="1">
      <alignment horizontal="right" vertical="center"/>
    </xf>
    <xf numFmtId="14" fontId="22" fillId="4" borderId="89" xfId="0" applyNumberFormat="1" applyFont="1" applyFill="1" applyBorder="1" applyAlignment="1">
      <alignment horizontal="center" vertical="center"/>
    </xf>
    <xf numFmtId="14" fontId="22" fillId="2" borderId="59" xfId="0" applyNumberFormat="1" applyFont="1" applyFill="1" applyBorder="1" applyAlignment="1">
      <alignment horizontal="center"/>
    </xf>
    <xf numFmtId="1" fontId="54" fillId="0" borderId="0" xfId="0" applyNumberFormat="1" applyFont="1" applyAlignment="1">
      <alignment horizontal="center"/>
    </xf>
    <xf numFmtId="0" fontId="54" fillId="0" borderId="0" xfId="0" applyFont="1"/>
    <xf numFmtId="3" fontId="55" fillId="0" borderId="95" xfId="0" applyNumberFormat="1" applyFont="1" applyBorder="1" applyAlignment="1">
      <alignment horizontal="center" vertical="center"/>
    </xf>
    <xf numFmtId="3" fontId="55" fillId="0" borderId="96" xfId="0" applyNumberFormat="1" applyFont="1" applyBorder="1" applyAlignment="1">
      <alignment horizontal="center" vertical="center"/>
    </xf>
    <xf numFmtId="3" fontId="56" fillId="0" borderId="0" xfId="0" applyNumberFormat="1" applyFont="1" applyAlignment="1">
      <alignment horizontal="center" vertical="center"/>
    </xf>
    <xf numFmtId="3" fontId="54" fillId="0" borderId="0" xfId="0" applyNumberFormat="1" applyFont="1" applyAlignment="1">
      <alignment horizontal="center" vertical="center"/>
    </xf>
    <xf numFmtId="0" fontId="22" fillId="2" borderId="59" xfId="0" applyFont="1" applyFill="1" applyBorder="1" applyAlignment="1">
      <alignment horizontal="center"/>
    </xf>
    <xf numFmtId="3" fontId="57" fillId="0" borderId="92" xfId="0" applyNumberFormat="1" applyFont="1" applyBorder="1" applyAlignment="1">
      <alignment horizontal="center"/>
    </xf>
    <xf numFmtId="3" fontId="57" fillId="0" borderId="93" xfId="0" applyNumberFormat="1" applyFont="1" applyBorder="1" applyAlignment="1">
      <alignment horizontal="center"/>
    </xf>
    <xf numFmtId="3" fontId="0" fillId="0" borderId="74" xfId="0" applyNumberFormat="1" applyBorder="1" applyAlignment="1">
      <alignment horizontal="right"/>
    </xf>
    <xf numFmtId="3" fontId="0" fillId="0" borderId="28" xfId="0" applyNumberFormat="1" applyBorder="1" applyAlignment="1">
      <alignment horizontal="right"/>
    </xf>
    <xf numFmtId="1" fontId="57" fillId="0" borderId="92" xfId="0" applyNumberFormat="1" applyFont="1" applyBorder="1" applyAlignment="1">
      <alignment horizontal="center"/>
    </xf>
    <xf numFmtId="1" fontId="57" fillId="0" borderId="93" xfId="0" applyNumberFormat="1" applyFont="1" applyBorder="1" applyAlignment="1">
      <alignment horizontal="center"/>
    </xf>
    <xf numFmtId="0" fontId="24" fillId="0" borderId="60" xfId="0" applyFont="1" applyBorder="1"/>
    <xf numFmtId="1" fontId="24" fillId="0" borderId="74" xfId="0" applyNumberFormat="1" applyFont="1" applyBorder="1" applyAlignment="1">
      <alignment horizontal="right"/>
    </xf>
    <xf numFmtId="1" fontId="24" fillId="0" borderId="28" xfId="0" applyNumberFormat="1" applyFont="1" applyBorder="1" applyAlignment="1">
      <alignment horizontal="right"/>
    </xf>
    <xf numFmtId="49" fontId="24" fillId="0" borderId="97" xfId="0" applyNumberFormat="1" applyFont="1" applyBorder="1"/>
    <xf numFmtId="49" fontId="24" fillId="0" borderId="95" xfId="0" applyNumberFormat="1" applyFont="1" applyBorder="1"/>
    <xf numFmtId="166" fontId="34" fillId="0" borderId="98" xfId="2" applyNumberFormat="1" applyFont="1" applyBorder="1" applyAlignment="1">
      <alignment horizontal="right"/>
    </xf>
    <xf numFmtId="166" fontId="34" fillId="0" borderId="99" xfId="2" applyNumberFormat="1" applyFont="1" applyBorder="1" applyAlignment="1">
      <alignment horizontal="right"/>
    </xf>
    <xf numFmtId="165" fontId="59" fillId="2" borderId="28" xfId="1" applyNumberFormat="1" applyFont="1" applyFill="1" applyBorder="1" applyAlignment="1">
      <alignment horizontal="center" vertical="center" wrapText="1"/>
    </xf>
    <xf numFmtId="0" fontId="58" fillId="0" borderId="87" xfId="1" applyFont="1" applyBorder="1" applyAlignment="1">
      <alignment vertical="center"/>
    </xf>
    <xf numFmtId="165" fontId="59" fillId="2" borderId="100" xfId="1" applyNumberFormat="1" applyFont="1" applyFill="1" applyBorder="1" applyAlignment="1">
      <alignment horizontal="center" vertical="center" wrapText="1"/>
    </xf>
    <xf numFmtId="165" fontId="59" fillId="2" borderId="96" xfId="1" applyNumberFormat="1" applyFont="1" applyFill="1" applyBorder="1" applyAlignment="1">
      <alignment horizontal="center" vertical="center" wrapText="1"/>
    </xf>
    <xf numFmtId="165" fontId="59" fillId="3" borderId="96" xfId="1" applyNumberFormat="1" applyFont="1" applyFill="1" applyBorder="1" applyAlignment="1">
      <alignment horizontal="center" vertical="center" wrapText="1"/>
    </xf>
    <xf numFmtId="165" fontId="59" fillId="3" borderId="100" xfId="1" applyNumberFormat="1" applyFont="1" applyFill="1" applyBorder="1" applyAlignment="1">
      <alignment horizontal="center" vertical="center" wrapText="1"/>
    </xf>
    <xf numFmtId="165" fontId="59" fillId="0" borderId="100" xfId="1" applyNumberFormat="1" applyFont="1" applyBorder="1" applyAlignment="1">
      <alignment horizontal="center" vertical="center" wrapText="1"/>
    </xf>
    <xf numFmtId="165" fontId="59" fillId="0" borderId="96" xfId="1" applyNumberFormat="1" applyFont="1" applyBorder="1" applyAlignment="1">
      <alignment horizontal="center" vertical="center" wrapText="1"/>
    </xf>
    <xf numFmtId="0" fontId="33" fillId="2" borderId="0" xfId="0" applyFont="1" applyFill="1"/>
    <xf numFmtId="0" fontId="22" fillId="2" borderId="0" xfId="0" applyFont="1" applyFill="1" applyAlignment="1">
      <alignment horizontal="center"/>
    </xf>
    <xf numFmtId="0" fontId="22" fillId="2" borderId="59" xfId="0" applyFont="1" applyFill="1" applyBorder="1" applyAlignment="1">
      <alignment horizontal="center" wrapText="1"/>
    </xf>
    <xf numFmtId="0" fontId="10" fillId="0" borderId="101" xfId="9" applyFont="1" applyBorder="1" applyAlignment="1">
      <alignment vertical="center"/>
    </xf>
    <xf numFmtId="0" fontId="10" fillId="2" borderId="102" xfId="0" applyFont="1" applyFill="1" applyBorder="1" applyAlignment="1">
      <alignment horizontal="center" vertical="center"/>
    </xf>
    <xf numFmtId="0" fontId="10" fillId="2" borderId="96" xfId="0" applyFont="1" applyFill="1" applyBorder="1" applyAlignment="1">
      <alignment horizontal="center" vertical="center"/>
    </xf>
    <xf numFmtId="170" fontId="10" fillId="2" borderId="85" xfId="8" applyNumberFormat="1" applyFont="1" applyFill="1" applyBorder="1" applyAlignment="1">
      <alignment horizontal="center" vertical="center"/>
    </xf>
    <xf numFmtId="170" fontId="10" fillId="2" borderId="90" xfId="8" applyNumberFormat="1" applyFont="1" applyFill="1" applyBorder="1" applyAlignment="1">
      <alignment horizontal="center" vertical="center"/>
    </xf>
    <xf numFmtId="170" fontId="10" fillId="2" borderId="96" xfId="8" applyNumberFormat="1" applyFont="1" applyFill="1" applyBorder="1" applyAlignment="1">
      <alignment horizontal="center" vertical="center"/>
    </xf>
    <xf numFmtId="170" fontId="10" fillId="2" borderId="102" xfId="8" applyNumberFormat="1" applyFont="1" applyFill="1" applyBorder="1" applyAlignment="1">
      <alignment horizontal="center" vertical="center"/>
    </xf>
    <xf numFmtId="170" fontId="10" fillId="2" borderId="102" xfId="8" applyNumberFormat="1" applyFont="1" applyFill="1" applyBorder="1" applyAlignment="1">
      <alignment horizontal="right" vertical="center" indent="1"/>
    </xf>
    <xf numFmtId="170" fontId="10" fillId="2" borderId="96" xfId="8" applyNumberFormat="1" applyFont="1" applyFill="1" applyBorder="1" applyAlignment="1">
      <alignment horizontal="right" vertical="center" indent="1"/>
    </xf>
    <xf numFmtId="170" fontId="10" fillId="2" borderId="90" xfId="8" applyNumberFormat="1" applyFont="1" applyFill="1" applyBorder="1" applyAlignment="1">
      <alignment horizontal="right" vertical="center" indent="1"/>
    </xf>
    <xf numFmtId="170" fontId="10" fillId="2" borderId="85" xfId="8" applyNumberFormat="1" applyFont="1" applyFill="1" applyBorder="1" applyAlignment="1">
      <alignment horizontal="right" vertical="center"/>
    </xf>
    <xf numFmtId="0" fontId="22" fillId="0" borderId="86" xfId="9" applyFont="1" applyBorder="1" applyAlignment="1">
      <alignment vertical="center"/>
    </xf>
    <xf numFmtId="0" fontId="22" fillId="2" borderId="102" xfId="0" applyFont="1" applyFill="1" applyBorder="1" applyAlignment="1">
      <alignment horizontal="center" vertical="center"/>
    </xf>
    <xf numFmtId="0" fontId="22" fillId="2" borderId="96" xfId="0" applyFont="1" applyFill="1" applyBorder="1" applyAlignment="1">
      <alignment horizontal="center" vertical="center"/>
    </xf>
    <xf numFmtId="170" fontId="22" fillId="2" borderId="85" xfId="8" applyNumberFormat="1" applyFont="1" applyFill="1" applyBorder="1" applyAlignment="1">
      <alignment horizontal="center" vertical="center"/>
    </xf>
    <xf numFmtId="170" fontId="22" fillId="2" borderId="102" xfId="8" applyNumberFormat="1" applyFont="1" applyFill="1" applyBorder="1" applyAlignment="1">
      <alignment horizontal="center" vertical="center"/>
    </xf>
    <xf numFmtId="170" fontId="22" fillId="2" borderId="96" xfId="8" applyNumberFormat="1" applyFont="1" applyFill="1" applyBorder="1" applyAlignment="1">
      <alignment horizontal="center" vertical="center"/>
    </xf>
    <xf numFmtId="170" fontId="22" fillId="2" borderId="102" xfId="8" applyNumberFormat="1" applyFont="1" applyFill="1" applyBorder="1" applyAlignment="1">
      <alignment horizontal="right" vertical="center" indent="1"/>
    </xf>
    <xf numFmtId="170" fontId="22" fillId="2" borderId="96" xfId="8" applyNumberFormat="1" applyFont="1" applyFill="1" applyBorder="1" applyAlignment="1">
      <alignment horizontal="right" vertical="center" indent="1"/>
    </xf>
    <xf numFmtId="170" fontId="22" fillId="2" borderId="85" xfId="8" applyNumberFormat="1" applyFont="1" applyFill="1" applyBorder="1" applyAlignment="1">
      <alignment horizontal="right" vertical="center"/>
    </xf>
    <xf numFmtId="170" fontId="22" fillId="2" borderId="96" xfId="8" applyNumberFormat="1" applyFont="1" applyFill="1" applyBorder="1" applyAlignment="1">
      <alignment horizontal="right" vertical="center"/>
    </xf>
    <xf numFmtId="0" fontId="10" fillId="0" borderId="86" xfId="9" applyFont="1" applyBorder="1" applyAlignment="1">
      <alignment vertical="center"/>
    </xf>
    <xf numFmtId="170" fontId="10" fillId="2" borderId="96" xfId="8" applyNumberFormat="1" applyFont="1" applyFill="1" applyBorder="1" applyAlignment="1">
      <alignment horizontal="right" vertical="center"/>
    </xf>
    <xf numFmtId="0" fontId="22" fillId="0" borderId="101" xfId="9" applyFont="1" applyBorder="1" applyAlignment="1">
      <alignment vertical="center"/>
    </xf>
    <xf numFmtId="170" fontId="22" fillId="2" borderId="96" xfId="8" applyNumberFormat="1" applyFont="1" applyFill="1" applyBorder="1" applyAlignment="1">
      <alignment vertical="center"/>
    </xf>
    <xf numFmtId="0" fontId="10" fillId="0" borderId="103" xfId="9" applyFont="1" applyBorder="1" applyAlignment="1">
      <alignment vertical="center"/>
    </xf>
    <xf numFmtId="0" fontId="10" fillId="2" borderId="104" xfId="0" applyFont="1" applyFill="1" applyBorder="1" applyAlignment="1">
      <alignment horizontal="center" vertical="center"/>
    </xf>
    <xf numFmtId="0" fontId="10" fillId="2" borderId="105" xfId="0" applyFont="1" applyFill="1" applyBorder="1" applyAlignment="1">
      <alignment horizontal="center" vertical="center"/>
    </xf>
    <xf numFmtId="170" fontId="10" fillId="2" borderId="106" xfId="8" applyNumberFormat="1" applyFont="1" applyFill="1" applyBorder="1" applyAlignment="1">
      <alignment horizontal="center" vertical="center"/>
    </xf>
    <xf numFmtId="170" fontId="10" fillId="2" borderId="104" xfId="8" applyNumberFormat="1" applyFont="1" applyFill="1" applyBorder="1" applyAlignment="1">
      <alignment horizontal="center" vertical="center"/>
    </xf>
    <xf numFmtId="170" fontId="10" fillId="2" borderId="105" xfId="8" applyNumberFormat="1" applyFont="1" applyFill="1" applyBorder="1" applyAlignment="1">
      <alignment horizontal="center" vertical="center"/>
    </xf>
    <xf numFmtId="170" fontId="10" fillId="2" borderId="104" xfId="8" applyNumberFormat="1" applyFont="1" applyFill="1" applyBorder="1" applyAlignment="1">
      <alignment horizontal="right" vertical="center" indent="1"/>
    </xf>
    <xf numFmtId="170" fontId="10" fillId="2" borderId="105" xfId="8" applyNumberFormat="1" applyFont="1" applyFill="1" applyBorder="1" applyAlignment="1">
      <alignment horizontal="right" vertical="center" indent="1"/>
    </xf>
    <xf numFmtId="170" fontId="10" fillId="2" borderId="105" xfId="8" applyNumberFormat="1" applyFont="1" applyFill="1" applyBorder="1" applyAlignment="1">
      <alignment horizontal="right" vertical="center"/>
    </xf>
    <xf numFmtId="170" fontId="10" fillId="2" borderId="106" xfId="8" applyNumberFormat="1" applyFont="1" applyFill="1" applyBorder="1" applyAlignment="1">
      <alignment horizontal="right" vertical="center"/>
    </xf>
    <xf numFmtId="0" fontId="60" fillId="4" borderId="95" xfId="9" applyFont="1" applyFill="1" applyBorder="1" applyAlignment="1">
      <alignment vertical="center"/>
    </xf>
    <xf numFmtId="0" fontId="60" fillId="4" borderId="109" xfId="9" applyFont="1" applyFill="1" applyBorder="1" applyAlignment="1">
      <alignment vertical="center"/>
    </xf>
    <xf numFmtId="170" fontId="60" fillId="4" borderId="96" xfId="8" applyNumberFormat="1" applyFont="1" applyFill="1" applyBorder="1" applyAlignment="1">
      <alignment horizontal="center" vertical="center" wrapText="1"/>
    </xf>
    <xf numFmtId="170" fontId="60" fillId="4" borderId="102" xfId="8" applyNumberFormat="1" applyFont="1" applyFill="1" applyBorder="1" applyAlignment="1">
      <alignment horizontal="center" vertical="center" wrapText="1"/>
    </xf>
    <xf numFmtId="170" fontId="60" fillId="4" borderId="86" xfId="8" applyNumberFormat="1" applyFont="1" applyFill="1" applyBorder="1" applyAlignment="1">
      <alignment horizontal="center" vertical="center" wrapText="1"/>
    </xf>
    <xf numFmtId="170" fontId="60" fillId="4" borderId="108" xfId="8" applyNumberFormat="1" applyFont="1" applyFill="1" applyBorder="1" applyAlignment="1">
      <alignment horizontal="center" vertical="center" wrapText="1"/>
    </xf>
    <xf numFmtId="0" fontId="22" fillId="4" borderId="112" xfId="0" applyFont="1" applyFill="1" applyBorder="1" applyAlignment="1">
      <alignment horizontal="center"/>
    </xf>
    <xf numFmtId="0" fontId="13" fillId="0" borderId="117" xfId="0" applyFont="1" applyBorder="1" applyAlignment="1">
      <alignment wrapText="1"/>
    </xf>
    <xf numFmtId="0" fontId="13" fillId="0" borderId="118" xfId="0" applyFont="1" applyBorder="1" applyAlignment="1">
      <alignment wrapText="1"/>
    </xf>
    <xf numFmtId="0" fontId="22" fillId="4" borderId="120" xfId="0" applyFont="1" applyFill="1" applyBorder="1" applyAlignment="1">
      <alignment horizontal="center"/>
    </xf>
    <xf numFmtId="170" fontId="27" fillId="3" borderId="121" xfId="8" applyNumberFormat="1" applyFont="1" applyFill="1" applyBorder="1" applyAlignment="1">
      <alignment horizontal="center" vertical="center" wrapText="1"/>
    </xf>
    <xf numFmtId="170" fontId="26" fillId="3" borderId="122" xfId="8" applyNumberFormat="1" applyFont="1" applyFill="1" applyBorder="1" applyAlignment="1">
      <alignment horizontal="center" vertical="center" wrapText="1"/>
    </xf>
    <xf numFmtId="170" fontId="27" fillId="3" borderId="123" xfId="8" applyNumberFormat="1" applyFont="1" applyFill="1" applyBorder="1" applyAlignment="1">
      <alignment horizontal="center" vertical="center" wrapText="1"/>
    </xf>
    <xf numFmtId="170" fontId="26" fillId="3" borderId="124" xfId="8" applyNumberFormat="1" applyFont="1" applyFill="1" applyBorder="1" applyAlignment="1">
      <alignment horizontal="center" vertical="center" wrapText="1"/>
    </xf>
    <xf numFmtId="170" fontId="60" fillId="3" borderId="125" xfId="8" applyNumberFormat="1" applyFont="1" applyFill="1" applyBorder="1" applyAlignment="1">
      <alignment horizontal="center" vertical="center" wrapText="1"/>
    </xf>
    <xf numFmtId="170" fontId="60" fillId="4" borderId="125" xfId="8" applyNumberFormat="1" applyFont="1" applyFill="1" applyBorder="1" applyAlignment="1">
      <alignment horizontal="center" vertical="center" wrapText="1"/>
    </xf>
    <xf numFmtId="170" fontId="22" fillId="0" borderId="123" xfId="8" applyNumberFormat="1" applyFont="1" applyBorder="1" applyAlignment="1">
      <alignment horizontal="center" vertical="center"/>
    </xf>
    <xf numFmtId="170" fontId="27" fillId="3" borderId="121" xfId="8" applyNumberFormat="1" applyFont="1" applyFill="1" applyBorder="1" applyAlignment="1">
      <alignment horizontal="right" vertical="center" wrapText="1"/>
    </xf>
    <xf numFmtId="170" fontId="26" fillId="3" borderId="122" xfId="8" applyNumberFormat="1" applyFont="1" applyFill="1" applyBorder="1" applyAlignment="1">
      <alignment horizontal="right" vertical="center" wrapText="1"/>
    </xf>
    <xf numFmtId="170" fontId="27" fillId="3" borderId="123" xfId="8" applyNumberFormat="1" applyFont="1" applyFill="1" applyBorder="1" applyAlignment="1">
      <alignment horizontal="right" vertical="center" wrapText="1"/>
    </xf>
    <xf numFmtId="170" fontId="26" fillId="3" borderId="124" xfId="8" applyNumberFormat="1" applyFont="1" applyFill="1" applyBorder="1" applyAlignment="1">
      <alignment horizontal="right" vertical="center" wrapText="1"/>
    </xf>
    <xf numFmtId="170" fontId="60" fillId="3" borderId="125" xfId="8" applyNumberFormat="1" applyFont="1" applyFill="1" applyBorder="1" applyAlignment="1">
      <alignment horizontal="right" vertical="center" wrapText="1"/>
    </xf>
    <xf numFmtId="170" fontId="60" fillId="4" borderId="125" xfId="8" applyNumberFormat="1" applyFont="1" applyFill="1" applyBorder="1" applyAlignment="1">
      <alignment horizontal="right" vertical="center" wrapText="1"/>
    </xf>
    <xf numFmtId="170" fontId="22" fillId="0" borderId="123" xfId="8" applyNumberFormat="1" applyFont="1" applyBorder="1" applyAlignment="1">
      <alignment horizontal="right" vertical="center"/>
    </xf>
    <xf numFmtId="0" fontId="22" fillId="4" borderId="120" xfId="0" applyFont="1" applyFill="1" applyBorder="1" applyAlignment="1">
      <alignment horizontal="center" wrapText="1"/>
    </xf>
    <xf numFmtId="0" fontId="22" fillId="2" borderId="126" xfId="0" applyFont="1" applyFill="1" applyBorder="1" applyAlignment="1">
      <alignment horizontal="center"/>
    </xf>
    <xf numFmtId="166" fontId="23" fillId="4" borderId="4" xfId="1" applyNumberFormat="1" applyFont="1" applyFill="1" applyBorder="1" applyAlignment="1">
      <alignment horizontal="center" vertical="center" wrapText="1"/>
    </xf>
    <xf numFmtId="166" fontId="23" fillId="4" borderId="28" xfId="1" applyNumberFormat="1" applyFont="1" applyFill="1" applyBorder="1" applyAlignment="1">
      <alignment horizontal="center" vertical="center" wrapText="1"/>
    </xf>
    <xf numFmtId="166" fontId="23" fillId="2" borderId="28" xfId="1" applyNumberFormat="1" applyFont="1" applyFill="1" applyBorder="1" applyAlignment="1">
      <alignment horizontal="center" vertical="center" wrapText="1"/>
    </xf>
    <xf numFmtId="165" fontId="20" fillId="4" borderId="28" xfId="1" applyNumberFormat="1" applyFont="1" applyFill="1" applyBorder="1" applyAlignment="1">
      <alignment horizontal="center" vertical="center" wrapText="1"/>
    </xf>
    <xf numFmtId="165" fontId="20" fillId="4" borderId="4" xfId="1" applyNumberFormat="1" applyFont="1" applyFill="1" applyBorder="1" applyAlignment="1">
      <alignment horizontal="center" vertical="center" wrapText="1"/>
    </xf>
    <xf numFmtId="0" fontId="0" fillId="2" borderId="61" xfId="0" applyFill="1" applyBorder="1" applyAlignment="1">
      <alignment horizontal="left" indent="1"/>
    </xf>
    <xf numFmtId="0" fontId="0" fillId="2" borderId="61" xfId="0" applyFill="1" applyBorder="1"/>
    <xf numFmtId="0" fontId="0" fillId="2" borderId="0" xfId="0" applyFill="1" applyAlignment="1">
      <alignment horizontal="left" indent="1"/>
    </xf>
    <xf numFmtId="0" fontId="22" fillId="4" borderId="130" xfId="0" applyFont="1" applyFill="1" applyBorder="1" applyAlignment="1">
      <alignment horizontal="center" wrapText="1"/>
    </xf>
    <xf numFmtId="0" fontId="22" fillId="4" borderId="131" xfId="0" applyFont="1" applyFill="1" applyBorder="1" applyAlignment="1">
      <alignment horizontal="center" wrapText="1"/>
    </xf>
    <xf numFmtId="0" fontId="22" fillId="4" borderId="132" xfId="0" applyFont="1" applyFill="1" applyBorder="1" applyAlignment="1">
      <alignment horizontal="center" wrapText="1"/>
    </xf>
    <xf numFmtId="0" fontId="22" fillId="2" borderId="61" xfId="0" applyFont="1" applyFill="1" applyBorder="1" applyAlignment="1">
      <alignment horizontal="center"/>
    </xf>
    <xf numFmtId="0" fontId="22" fillId="4" borderId="143" xfId="0" applyFont="1" applyFill="1" applyBorder="1" applyAlignment="1">
      <alignment horizontal="center" wrapText="1"/>
    </xf>
    <xf numFmtId="0" fontId="0" fillId="2" borderId="0" xfId="0" applyFill="1" applyAlignment="1">
      <alignment horizontal="center"/>
    </xf>
    <xf numFmtId="0" fontId="0" fillId="0" borderId="0" xfId="0" applyAlignment="1">
      <alignment horizontal="center"/>
    </xf>
    <xf numFmtId="0" fontId="22" fillId="2" borderId="127" xfId="0" applyFont="1" applyFill="1" applyBorder="1" applyAlignment="1">
      <alignment horizontal="left"/>
    </xf>
    <xf numFmtId="0" fontId="22" fillId="2" borderId="23" xfId="0" applyFont="1" applyFill="1" applyBorder="1" applyAlignment="1">
      <alignment horizontal="left"/>
    </xf>
    <xf numFmtId="0" fontId="22" fillId="2" borderId="1" xfId="0" applyFont="1" applyFill="1" applyBorder="1" applyAlignment="1">
      <alignment horizontal="left"/>
    </xf>
    <xf numFmtId="0" fontId="22" fillId="2" borderId="129" xfId="0" applyFont="1" applyFill="1" applyBorder="1" applyAlignment="1">
      <alignment horizontal="left"/>
    </xf>
    <xf numFmtId="0" fontId="9" fillId="2" borderId="0" xfId="0" applyFont="1" applyFill="1"/>
    <xf numFmtId="0" fontId="9" fillId="2" borderId="0" xfId="0" applyFont="1" applyFill="1" applyAlignment="1">
      <alignment horizontal="center"/>
    </xf>
    <xf numFmtId="0" fontId="9" fillId="3" borderId="145" xfId="0" applyFont="1" applyFill="1" applyBorder="1"/>
    <xf numFmtId="165" fontId="26" fillId="2" borderId="0" xfId="1" applyNumberFormat="1" applyFont="1" applyFill="1" applyAlignment="1">
      <alignment horizontal="center" wrapText="1"/>
    </xf>
    <xf numFmtId="165" fontId="26" fillId="3" borderId="84" xfId="1" applyNumberFormat="1" applyFont="1" applyFill="1" applyBorder="1" applyAlignment="1">
      <alignment horizontal="center" vertical="center" wrapText="1"/>
    </xf>
    <xf numFmtId="165" fontId="26" fillId="2" borderId="0" xfId="1" applyNumberFormat="1" applyFont="1" applyFill="1" applyAlignment="1">
      <alignment horizontal="center" vertical="center" wrapText="1"/>
    </xf>
    <xf numFmtId="165" fontId="9" fillId="3" borderId="84" xfId="1" applyNumberFormat="1" applyFont="1" applyFill="1" applyBorder="1" applyAlignment="1">
      <alignment horizontal="center" vertical="center" wrapText="1"/>
    </xf>
    <xf numFmtId="9" fontId="43" fillId="2" borderId="135" xfId="2" applyFont="1" applyFill="1" applyBorder="1" applyAlignment="1">
      <alignment horizontal="right" vertical="center" wrapText="1"/>
    </xf>
    <xf numFmtId="9" fontId="25" fillId="2" borderId="135" xfId="2" applyFont="1" applyFill="1" applyBorder="1" applyAlignment="1">
      <alignment horizontal="right" vertical="center" wrapText="1"/>
    </xf>
    <xf numFmtId="0" fontId="43" fillId="2" borderId="0" xfId="0" applyFont="1" applyFill="1" applyAlignment="1">
      <alignment horizontal="right"/>
    </xf>
    <xf numFmtId="171" fontId="9" fillId="2" borderId="136" xfId="13" applyNumberFormat="1" applyFont="1" applyFill="1" applyBorder="1" applyAlignment="1">
      <alignment horizontal="right" vertical="center" wrapText="1"/>
    </xf>
    <xf numFmtId="171" fontId="9" fillId="2" borderId="0" xfId="13" applyNumberFormat="1" applyFont="1" applyFill="1" applyAlignment="1">
      <alignment horizontal="right"/>
    </xf>
    <xf numFmtId="166" fontId="43" fillId="2" borderId="0" xfId="0" applyNumberFormat="1" applyFont="1" applyFill="1" applyAlignment="1">
      <alignment horizontal="right"/>
    </xf>
    <xf numFmtId="166" fontId="43" fillId="2" borderId="135" xfId="2" applyNumberFormat="1" applyFont="1" applyFill="1" applyBorder="1" applyAlignment="1">
      <alignment horizontal="right" vertical="center" wrapText="1"/>
    </xf>
    <xf numFmtId="166" fontId="25" fillId="2" borderId="135" xfId="2" applyNumberFormat="1" applyFont="1" applyFill="1" applyBorder="1" applyAlignment="1">
      <alignment horizontal="right" vertical="center" wrapText="1"/>
    </xf>
    <xf numFmtId="166" fontId="25" fillId="2" borderId="140" xfId="2" applyNumberFormat="1" applyFont="1" applyFill="1" applyBorder="1" applyAlignment="1">
      <alignment horizontal="right" vertical="center" wrapText="1"/>
    </xf>
    <xf numFmtId="166" fontId="43" fillId="2" borderId="0" xfId="0" applyNumberFormat="1" applyFont="1" applyFill="1" applyAlignment="1">
      <alignment horizontal="right" vertical="center"/>
    </xf>
    <xf numFmtId="172" fontId="22" fillId="2" borderId="128" xfId="13" applyNumberFormat="1" applyFont="1" applyFill="1" applyBorder="1" applyAlignment="1">
      <alignment horizontal="center"/>
    </xf>
    <xf numFmtId="172" fontId="22" fillId="2" borderId="1" xfId="13" applyNumberFormat="1" applyFont="1" applyFill="1" applyBorder="1" applyAlignment="1">
      <alignment horizontal="center"/>
    </xf>
    <xf numFmtId="172" fontId="22" fillId="2" borderId="137" xfId="13" applyNumberFormat="1" applyFont="1" applyFill="1" applyBorder="1" applyAlignment="1">
      <alignment horizontal="center"/>
    </xf>
    <xf numFmtId="172" fontId="9" fillId="2" borderId="0" xfId="13" applyNumberFormat="1" applyFont="1" applyFill="1" applyAlignment="1">
      <alignment horizontal="center"/>
    </xf>
    <xf numFmtId="172" fontId="26" fillId="2" borderId="59" xfId="13" applyNumberFormat="1" applyFont="1" applyFill="1" applyBorder="1" applyAlignment="1">
      <alignment horizontal="center" vertical="center" wrapText="1"/>
    </xf>
    <xf numFmtId="172" fontId="9" fillId="2" borderId="59" xfId="13" applyNumberFormat="1" applyFont="1" applyFill="1" applyBorder="1" applyAlignment="1">
      <alignment horizontal="center" vertical="center" wrapText="1"/>
    </xf>
    <xf numFmtId="172" fontId="9" fillId="2" borderId="135" xfId="13" applyNumberFormat="1" applyFont="1" applyFill="1" applyBorder="1" applyAlignment="1">
      <alignment horizontal="right" vertical="center" wrapText="1"/>
    </xf>
    <xf numFmtId="172" fontId="9" fillId="2" borderId="59" xfId="13" applyNumberFormat="1" applyFont="1" applyFill="1" applyBorder="1" applyAlignment="1">
      <alignment horizontal="right" vertical="center" wrapText="1"/>
    </xf>
    <xf numFmtId="172" fontId="9" fillId="2" borderId="136" xfId="13" applyNumberFormat="1" applyFont="1" applyFill="1" applyBorder="1" applyAlignment="1">
      <alignment horizontal="right" vertical="center" wrapText="1"/>
    </xf>
    <xf numFmtId="172" fontId="9" fillId="2" borderId="0" xfId="13" applyNumberFormat="1" applyFont="1" applyFill="1" applyAlignment="1">
      <alignment horizontal="right"/>
    </xf>
    <xf numFmtId="172" fontId="26" fillId="2" borderId="135" xfId="13" applyNumberFormat="1" applyFont="1" applyFill="1" applyBorder="1" applyAlignment="1">
      <alignment horizontal="right" vertical="center" wrapText="1"/>
    </xf>
    <xf numFmtId="172" fontId="26" fillId="2" borderId="59" xfId="13" applyNumberFormat="1" applyFont="1" applyFill="1" applyBorder="1" applyAlignment="1">
      <alignment horizontal="right" vertical="center" wrapText="1"/>
    </xf>
    <xf numFmtId="172" fontId="26" fillId="2" borderId="140" xfId="13" applyNumberFormat="1" applyFont="1" applyFill="1" applyBorder="1" applyAlignment="1">
      <alignment horizontal="right" vertical="center" wrapText="1"/>
    </xf>
    <xf numFmtId="9" fontId="61" fillId="2" borderId="0" xfId="2" applyFont="1" applyFill="1" applyAlignment="1">
      <alignment horizontal="center"/>
    </xf>
    <xf numFmtId="9" fontId="61" fillId="3" borderId="144" xfId="2" applyFont="1" applyFill="1" applyBorder="1" applyAlignment="1">
      <alignment horizontal="center"/>
    </xf>
    <xf numFmtId="9" fontId="43" fillId="2" borderId="59" xfId="2" applyFont="1" applyFill="1" applyBorder="1" applyAlignment="1">
      <alignment horizontal="right" vertical="center" wrapText="1"/>
    </xf>
    <xf numFmtId="9" fontId="25" fillId="2" borderId="59" xfId="2" applyFont="1" applyFill="1" applyBorder="1" applyAlignment="1">
      <alignment horizontal="right" vertical="center" wrapText="1"/>
    </xf>
    <xf numFmtId="166" fontId="43" fillId="2" borderId="59" xfId="2" applyNumberFormat="1" applyFont="1" applyFill="1" applyBorder="1" applyAlignment="1">
      <alignment horizontal="right" vertical="center" wrapText="1"/>
    </xf>
    <xf numFmtId="166" fontId="25" fillId="2" borderId="59" xfId="2" applyNumberFormat="1" applyFont="1" applyFill="1" applyBorder="1" applyAlignment="1">
      <alignment horizontal="right" vertical="center" wrapText="1"/>
    </xf>
    <xf numFmtId="166" fontId="25" fillId="2" borderId="141" xfId="2" applyNumberFormat="1" applyFont="1" applyFill="1" applyBorder="1" applyAlignment="1">
      <alignment horizontal="right" vertical="center" wrapText="1"/>
    </xf>
    <xf numFmtId="1" fontId="9" fillId="2" borderId="135" xfId="13" applyNumberFormat="1" applyFont="1" applyFill="1" applyBorder="1" applyAlignment="1">
      <alignment horizontal="right" vertical="center" wrapText="1"/>
    </xf>
    <xf numFmtId="1" fontId="9" fillId="2" borderId="59" xfId="13" applyNumberFormat="1" applyFont="1" applyFill="1" applyBorder="1" applyAlignment="1">
      <alignment horizontal="right" vertical="center" wrapText="1"/>
    </xf>
    <xf numFmtId="1" fontId="26" fillId="2" borderId="135" xfId="13" applyNumberFormat="1" applyFont="1" applyFill="1" applyBorder="1" applyAlignment="1">
      <alignment horizontal="right" vertical="center" wrapText="1"/>
    </xf>
    <xf numFmtId="1" fontId="26" fillId="2" borderId="59" xfId="13" applyNumberFormat="1" applyFont="1" applyFill="1" applyBorder="1" applyAlignment="1">
      <alignment horizontal="right" vertical="center" wrapText="1"/>
    </xf>
    <xf numFmtId="49" fontId="0" fillId="0" borderId="59" xfId="0" applyNumberFormat="1" applyBorder="1" applyAlignment="1">
      <alignment horizontal="left" indent="1"/>
    </xf>
    <xf numFmtId="0" fontId="8" fillId="4" borderId="14" xfId="0" applyFont="1" applyFill="1" applyBorder="1"/>
    <xf numFmtId="0" fontId="8" fillId="4" borderId="46" xfId="0" applyFont="1" applyFill="1" applyBorder="1"/>
    <xf numFmtId="165" fontId="27" fillId="3" borderId="147" xfId="1" applyNumberFormat="1" applyFont="1" applyFill="1" applyBorder="1" applyAlignment="1">
      <alignment horizontal="center" wrapText="1"/>
    </xf>
    <xf numFmtId="9" fontId="43" fillId="3" borderId="84" xfId="2" applyFont="1" applyFill="1" applyBorder="1" applyAlignment="1">
      <alignment horizontal="center" vertical="center" wrapText="1"/>
    </xf>
    <xf numFmtId="9" fontId="25" fillId="3" borderId="84" xfId="2" applyFont="1" applyFill="1" applyBorder="1" applyAlignment="1">
      <alignment horizontal="center" vertical="center" wrapText="1"/>
    </xf>
    <xf numFmtId="168" fontId="22" fillId="3" borderId="144" xfId="0" applyNumberFormat="1" applyFont="1" applyFill="1" applyBorder="1" applyAlignment="1">
      <alignment horizontal="left" indent="2"/>
    </xf>
    <xf numFmtId="9" fontId="25" fillId="3" borderId="146" xfId="2" applyFont="1" applyFill="1" applyBorder="1" applyAlignment="1">
      <alignment horizontal="center" vertical="center" wrapText="1"/>
    </xf>
    <xf numFmtId="168" fontId="0" fillId="2" borderId="0" xfId="0" applyNumberFormat="1" applyFill="1" applyAlignment="1">
      <alignment horizontal="center"/>
    </xf>
    <xf numFmtId="172" fontId="0" fillId="2" borderId="0" xfId="0" applyNumberFormat="1" applyFill="1" applyAlignment="1">
      <alignment horizontal="center"/>
    </xf>
    <xf numFmtId="165" fontId="26" fillId="3" borderId="148" xfId="1" applyNumberFormat="1" applyFont="1" applyFill="1" applyBorder="1" applyAlignment="1">
      <alignment horizontal="center" wrapText="1"/>
    </xf>
    <xf numFmtId="172" fontId="9" fillId="2" borderId="142" xfId="13" applyNumberFormat="1" applyFont="1" applyFill="1" applyBorder="1" applyAlignment="1">
      <alignment horizontal="right" vertical="center" wrapText="1"/>
    </xf>
    <xf numFmtId="172" fontId="26" fillId="2" borderId="141" xfId="13" applyNumberFormat="1" applyFont="1" applyFill="1" applyBorder="1" applyAlignment="1">
      <alignment horizontal="center" vertical="center" wrapText="1"/>
    </xf>
    <xf numFmtId="170" fontId="26" fillId="0" borderId="33" xfId="8" applyNumberFormat="1" applyFont="1" applyFill="1" applyBorder="1" applyAlignment="1">
      <alignment horizontal="center" vertical="center" wrapText="1"/>
    </xf>
    <xf numFmtId="0" fontId="13" fillId="0" borderId="38" xfId="0" applyFont="1" applyBorder="1" applyAlignment="1">
      <alignment wrapText="1"/>
    </xf>
    <xf numFmtId="0" fontId="13" fillId="0" borderId="113" xfId="0" applyFont="1" applyBorder="1" applyAlignment="1">
      <alignment wrapText="1"/>
    </xf>
    <xf numFmtId="170" fontId="26" fillId="0" borderId="122" xfId="8" applyNumberFormat="1" applyFont="1" applyFill="1" applyBorder="1" applyAlignment="1">
      <alignment horizontal="center" vertical="center" wrapText="1"/>
    </xf>
    <xf numFmtId="170" fontId="26" fillId="0" borderId="0" xfId="8" applyNumberFormat="1" applyFont="1" applyFill="1" applyBorder="1" applyAlignment="1">
      <alignment horizontal="center" vertical="center" wrapText="1"/>
    </xf>
    <xf numFmtId="170" fontId="26" fillId="0" borderId="26" xfId="8" applyNumberFormat="1" applyFont="1" applyFill="1" applyBorder="1" applyAlignment="1">
      <alignment horizontal="center" vertical="center" wrapText="1"/>
    </xf>
    <xf numFmtId="170" fontId="26" fillId="0" borderId="28" xfId="8" applyNumberFormat="1" applyFont="1" applyFill="1" applyBorder="1" applyAlignment="1">
      <alignment horizontal="center" vertical="center" wrapText="1"/>
    </xf>
    <xf numFmtId="170" fontId="26" fillId="0" borderId="122" xfId="8" applyNumberFormat="1" applyFont="1" applyFill="1" applyBorder="1" applyAlignment="1">
      <alignment horizontal="right" vertical="center" wrapText="1"/>
    </xf>
    <xf numFmtId="0" fontId="13" fillId="0" borderId="38" xfId="0" applyFont="1" applyBorder="1" applyAlignment="1">
      <alignment horizontal="left" wrapText="1" indent="1"/>
    </xf>
    <xf numFmtId="0" fontId="13" fillId="0" borderId="35" xfId="0" applyFont="1" applyBorder="1" applyAlignment="1">
      <alignment wrapText="1"/>
    </xf>
    <xf numFmtId="0" fontId="12" fillId="0" borderId="114" xfId="0" applyFont="1" applyBorder="1" applyAlignment="1">
      <alignment wrapText="1"/>
    </xf>
    <xf numFmtId="0" fontId="13" fillId="0" borderId="35" xfId="0" applyFont="1" applyBorder="1" applyAlignment="1">
      <alignment horizontal="left" wrapText="1" indent="1"/>
    </xf>
    <xf numFmtId="170" fontId="33" fillId="0" borderId="122" xfId="8" applyNumberFormat="1" applyFont="1" applyFill="1" applyBorder="1" applyAlignment="1">
      <alignment horizontal="center" vertical="center"/>
    </xf>
    <xf numFmtId="0" fontId="12" fillId="0" borderId="34" xfId="0" applyFont="1" applyBorder="1"/>
    <xf numFmtId="0" fontId="12" fillId="0" borderId="114" xfId="0" applyFont="1" applyBorder="1"/>
    <xf numFmtId="0" fontId="7" fillId="0" borderId="34" xfId="0" applyFont="1" applyBorder="1" applyAlignment="1">
      <alignment horizontal="left" indent="1"/>
    </xf>
    <xf numFmtId="170" fontId="45" fillId="0" borderId="26" xfId="8" applyNumberFormat="1" applyFont="1" applyFill="1" applyBorder="1" applyAlignment="1">
      <alignment horizontal="center" vertical="center"/>
    </xf>
    <xf numFmtId="170" fontId="45" fillId="0" borderId="0" xfId="8" applyNumberFormat="1" applyFont="1" applyFill="1" applyBorder="1" applyAlignment="1">
      <alignment horizontal="center" vertical="center"/>
    </xf>
    <xf numFmtId="0" fontId="12" fillId="0" borderId="118" xfId="0" applyFont="1" applyBorder="1" applyAlignment="1">
      <alignment wrapText="1"/>
    </xf>
    <xf numFmtId="170" fontId="27" fillId="3" borderId="121" xfId="8" applyNumberFormat="1" applyFont="1" applyFill="1" applyBorder="1" applyAlignment="1">
      <alignment vertical="center" wrapText="1"/>
    </xf>
    <xf numFmtId="170" fontId="26" fillId="0" borderId="122" xfId="8" applyNumberFormat="1" applyFont="1" applyFill="1" applyBorder="1" applyAlignment="1">
      <alignment vertical="center" wrapText="1"/>
    </xf>
    <xf numFmtId="170" fontId="27" fillId="3" borderId="123" xfId="8" applyNumberFormat="1" applyFont="1" applyFill="1" applyBorder="1" applyAlignment="1">
      <alignment vertical="center" wrapText="1"/>
    </xf>
    <xf numFmtId="170" fontId="26" fillId="3" borderId="122" xfId="8" applyNumberFormat="1" applyFont="1" applyFill="1" applyBorder="1" applyAlignment="1">
      <alignment vertical="center" wrapText="1"/>
    </xf>
    <xf numFmtId="170" fontId="60" fillId="3" borderId="125" xfId="8" applyNumberFormat="1" applyFont="1" applyFill="1" applyBorder="1" applyAlignment="1">
      <alignment vertical="center" wrapText="1"/>
    </xf>
    <xf numFmtId="170" fontId="60" fillId="4" borderId="125" xfId="8" applyNumberFormat="1" applyFont="1" applyFill="1" applyBorder="1" applyAlignment="1">
      <alignment vertical="center" wrapText="1"/>
    </xf>
    <xf numFmtId="170" fontId="22" fillId="0" borderId="123" xfId="8" applyNumberFormat="1" applyFont="1" applyBorder="1" applyAlignment="1">
      <alignment vertical="center"/>
    </xf>
    <xf numFmtId="0" fontId="22" fillId="4" borderId="50" xfId="0" applyFont="1" applyFill="1" applyBorder="1"/>
    <xf numFmtId="0" fontId="22" fillId="4" borderId="54" xfId="0" applyFont="1" applyFill="1" applyBorder="1"/>
    <xf numFmtId="0" fontId="13" fillId="0" borderId="36" xfId="0" applyFont="1" applyBorder="1"/>
    <xf numFmtId="0" fontId="13" fillId="0" borderId="113" xfId="0" applyFont="1" applyBorder="1"/>
    <xf numFmtId="0" fontId="13" fillId="0" borderId="34" xfId="0" applyFont="1" applyBorder="1"/>
    <xf numFmtId="0" fontId="13" fillId="0" borderId="114" xfId="0" applyFont="1" applyBorder="1"/>
    <xf numFmtId="0" fontId="12" fillId="0" borderId="113" xfId="0" applyFont="1" applyBorder="1"/>
    <xf numFmtId="0" fontId="13" fillId="0" borderId="34" xfId="0" applyFont="1" applyBorder="1" applyAlignment="1">
      <alignment horizontal="left" indent="1"/>
    </xf>
    <xf numFmtId="0" fontId="13" fillId="0" borderId="114" xfId="0" applyFont="1" applyBorder="1" applyAlignment="1">
      <alignment horizontal="left" indent="1"/>
    </xf>
    <xf numFmtId="0" fontId="12" fillId="0" borderId="80" xfId="0" applyFont="1" applyBorder="1"/>
    <xf numFmtId="0" fontId="12" fillId="0" borderId="116" xfId="0" applyFont="1" applyBorder="1"/>
    <xf numFmtId="0" fontId="13" fillId="0" borderId="80" xfId="0" applyFont="1" applyBorder="1" applyAlignment="1">
      <alignment horizontal="left" indent="1"/>
    </xf>
    <xf numFmtId="0" fontId="12" fillId="0" borderId="37" xfId="0" applyFont="1" applyBorder="1" applyAlignment="1">
      <alignment wrapText="1"/>
    </xf>
    <xf numFmtId="0" fontId="12" fillId="0" borderId="119" xfId="0" applyFont="1" applyBorder="1" applyAlignment="1">
      <alignment wrapText="1"/>
    </xf>
    <xf numFmtId="0" fontId="12" fillId="0" borderId="83" xfId="0" applyFont="1" applyBorder="1" applyAlignment="1">
      <alignment wrapText="1"/>
    </xf>
    <xf numFmtId="0" fontId="60" fillId="3" borderId="110" xfId="9" applyFont="1" applyFill="1" applyBorder="1" applyAlignment="1">
      <alignment vertical="center"/>
    </xf>
    <xf numFmtId="0" fontId="60" fillId="3" borderId="111" xfId="9" applyFont="1" applyFill="1" applyBorder="1" applyAlignment="1">
      <alignment vertical="center"/>
    </xf>
    <xf numFmtId="170" fontId="60" fillId="3" borderId="102" xfId="8" applyNumberFormat="1" applyFont="1" applyFill="1" applyBorder="1" applyAlignment="1">
      <alignment horizontal="center" vertical="center" wrapText="1"/>
    </xf>
    <xf numFmtId="170" fontId="60" fillId="3" borderId="96" xfId="8" applyNumberFormat="1" applyFont="1" applyFill="1" applyBorder="1" applyAlignment="1">
      <alignment horizontal="center" vertical="center" wrapText="1"/>
    </xf>
    <xf numFmtId="170" fontId="60" fillId="3" borderId="86" xfId="8" applyNumberFormat="1" applyFont="1" applyFill="1" applyBorder="1" applyAlignment="1">
      <alignment horizontal="center" vertical="center" wrapText="1"/>
    </xf>
    <xf numFmtId="170" fontId="60" fillId="3" borderId="108" xfId="8" applyNumberFormat="1" applyFont="1" applyFill="1" applyBorder="1" applyAlignment="1">
      <alignment horizontal="center" vertical="center" wrapText="1"/>
    </xf>
    <xf numFmtId="0" fontId="60" fillId="3" borderId="107" xfId="9" applyFont="1" applyFill="1" applyBorder="1" applyAlignment="1">
      <alignment vertical="center"/>
    </xf>
    <xf numFmtId="0" fontId="60" fillId="3" borderId="115" xfId="9" applyFont="1" applyFill="1" applyBorder="1" applyAlignment="1">
      <alignment vertical="center"/>
    </xf>
    <xf numFmtId="0" fontId="22" fillId="3" borderId="40" xfId="0" applyFont="1" applyFill="1" applyBorder="1"/>
    <xf numFmtId="0" fontId="22" fillId="3" borderId="44" xfId="0" applyFont="1" applyFill="1" applyBorder="1"/>
    <xf numFmtId="170" fontId="27" fillId="3" borderId="52" xfId="8" applyNumberFormat="1" applyFont="1" applyFill="1" applyBorder="1" applyAlignment="1">
      <alignment horizontal="center" vertical="center" wrapText="1"/>
    </xf>
    <xf numFmtId="170" fontId="27" fillId="3" borderId="53" xfId="8" applyNumberFormat="1" applyFont="1" applyFill="1" applyBorder="1" applyAlignment="1">
      <alignment horizontal="center" vertical="center" wrapText="1"/>
    </xf>
    <xf numFmtId="170" fontId="27" fillId="3" borderId="12" xfId="8" applyNumberFormat="1" applyFont="1" applyFill="1" applyBorder="1" applyAlignment="1">
      <alignment horizontal="center" vertical="center" wrapText="1"/>
    </xf>
    <xf numFmtId="170" fontId="27" fillId="3" borderId="32" xfId="8" applyNumberFormat="1" applyFont="1" applyFill="1" applyBorder="1" applyAlignment="1">
      <alignment horizontal="center" vertical="center" wrapText="1"/>
    </xf>
    <xf numFmtId="0" fontId="22" fillId="3" borderId="41" xfId="0" applyFont="1" applyFill="1" applyBorder="1"/>
    <xf numFmtId="0" fontId="22" fillId="3" borderId="48" xfId="0" applyFont="1" applyFill="1" applyBorder="1"/>
    <xf numFmtId="170" fontId="26" fillId="3" borderId="124" xfId="8" applyNumberFormat="1" applyFont="1" applyFill="1" applyBorder="1" applyAlignment="1">
      <alignment vertical="center" wrapText="1"/>
    </xf>
    <xf numFmtId="0" fontId="22" fillId="3" borderId="39" xfId="0" applyFont="1" applyFill="1" applyBorder="1"/>
    <xf numFmtId="0" fontId="22" fillId="3" borderId="47" xfId="0" applyFont="1" applyFill="1" applyBorder="1"/>
    <xf numFmtId="170" fontId="27" fillId="3" borderId="51" xfId="8" applyNumberFormat="1" applyFont="1" applyFill="1" applyBorder="1" applyAlignment="1">
      <alignment horizontal="center" vertical="center" wrapText="1"/>
    </xf>
    <xf numFmtId="170" fontId="27" fillId="3" borderId="55" xfId="8" applyNumberFormat="1" applyFont="1" applyFill="1" applyBorder="1" applyAlignment="1">
      <alignment horizontal="center" vertical="center" wrapText="1"/>
    </xf>
    <xf numFmtId="170" fontId="27" fillId="3" borderId="45" xfId="8" applyNumberFormat="1" applyFont="1" applyFill="1" applyBorder="1" applyAlignment="1">
      <alignment horizontal="center" vertical="center" wrapText="1"/>
    </xf>
    <xf numFmtId="170" fontId="27" fillId="3" borderId="58" xfId="8" applyNumberFormat="1" applyFont="1" applyFill="1" applyBorder="1" applyAlignment="1">
      <alignment horizontal="center" vertical="center" wrapText="1"/>
    </xf>
    <xf numFmtId="0" fontId="7" fillId="0" borderId="113" xfId="0" applyFont="1" applyBorder="1" applyAlignment="1">
      <alignment horizontal="left" wrapText="1" indent="1"/>
    </xf>
    <xf numFmtId="0" fontId="31" fillId="3" borderId="0" xfId="0" applyFont="1" applyFill="1" applyAlignment="1">
      <alignment horizontal="center" vertical="center" textRotation="90"/>
    </xf>
    <xf numFmtId="0" fontId="9" fillId="3" borderId="84" xfId="0" applyFont="1" applyFill="1" applyBorder="1" applyAlignment="1">
      <alignment horizontal="center"/>
    </xf>
    <xf numFmtId="0" fontId="9" fillId="2" borderId="59" xfId="0" applyFont="1" applyFill="1" applyBorder="1" applyAlignment="1">
      <alignment horizontal="right"/>
    </xf>
    <xf numFmtId="172" fontId="9" fillId="2" borderId="135" xfId="13" applyNumberFormat="1" applyFont="1" applyFill="1" applyBorder="1" applyAlignment="1">
      <alignment vertical="center" wrapText="1"/>
    </xf>
    <xf numFmtId="172" fontId="9" fillId="2" borderId="59" xfId="13" applyNumberFormat="1" applyFont="1" applyFill="1" applyBorder="1" applyAlignment="1">
      <alignment vertical="center" wrapText="1"/>
    </xf>
    <xf numFmtId="172" fontId="26" fillId="2" borderId="135" xfId="13" applyNumberFormat="1" applyFont="1" applyFill="1" applyBorder="1" applyAlignment="1">
      <alignment vertical="center" wrapText="1"/>
    </xf>
    <xf numFmtId="172" fontId="26" fillId="2" borderId="59" xfId="13" applyNumberFormat="1" applyFont="1" applyFill="1" applyBorder="1" applyAlignment="1">
      <alignment vertical="center" wrapText="1"/>
    </xf>
    <xf numFmtId="172" fontId="22" fillId="2" borderId="128" xfId="13" applyNumberFormat="1" applyFont="1" applyFill="1" applyBorder="1" applyAlignment="1"/>
    <xf numFmtId="172" fontId="22" fillId="2" borderId="1" xfId="13" applyNumberFormat="1" applyFont="1" applyFill="1" applyBorder="1" applyAlignment="1"/>
    <xf numFmtId="172" fontId="26" fillId="2" borderId="140" xfId="13" applyNumberFormat="1" applyFont="1" applyFill="1" applyBorder="1" applyAlignment="1">
      <alignment vertical="center" wrapText="1"/>
    </xf>
    <xf numFmtId="172" fontId="26" fillId="2" borderId="141" xfId="13" applyNumberFormat="1" applyFont="1" applyFill="1" applyBorder="1" applyAlignment="1">
      <alignment vertical="center" wrapText="1"/>
    </xf>
    <xf numFmtId="9" fontId="43" fillId="2" borderId="136" xfId="2" applyFont="1" applyFill="1" applyBorder="1" applyAlignment="1">
      <alignment horizontal="right" vertical="center" wrapText="1"/>
    </xf>
    <xf numFmtId="9" fontId="26" fillId="2" borderId="142" xfId="2" applyFont="1" applyFill="1" applyBorder="1" applyAlignment="1">
      <alignment horizontal="right" vertical="center" wrapText="1"/>
    </xf>
    <xf numFmtId="1" fontId="22" fillId="2" borderId="128" xfId="0" applyNumberFormat="1" applyFont="1" applyFill="1" applyBorder="1" applyAlignment="1">
      <alignment horizontal="right"/>
    </xf>
    <xf numFmtId="1" fontId="22" fillId="2" borderId="1" xfId="0" applyNumberFormat="1" applyFont="1" applyFill="1" applyBorder="1" applyAlignment="1">
      <alignment horizontal="right"/>
    </xf>
    <xf numFmtId="168" fontId="22" fillId="2" borderId="137" xfId="0" applyNumberFormat="1" applyFont="1" applyFill="1" applyBorder="1" applyAlignment="1">
      <alignment horizontal="right"/>
    </xf>
    <xf numFmtId="0" fontId="9" fillId="2" borderId="138" xfId="0" applyFont="1" applyFill="1" applyBorder="1" applyAlignment="1">
      <alignment horizontal="right"/>
    </xf>
    <xf numFmtId="0" fontId="9" fillId="2" borderId="2" xfId="0" applyFont="1" applyFill="1" applyBorder="1" applyAlignment="1">
      <alignment horizontal="right"/>
    </xf>
    <xf numFmtId="0" fontId="9" fillId="2" borderId="139" xfId="0" applyFont="1" applyFill="1" applyBorder="1" applyAlignment="1">
      <alignment horizontal="right"/>
    </xf>
    <xf numFmtId="166" fontId="61" fillId="2" borderId="128" xfId="2" applyNumberFormat="1" applyFont="1" applyFill="1" applyBorder="1" applyAlignment="1">
      <alignment horizontal="right"/>
    </xf>
    <xf numFmtId="166" fontId="61" fillId="2" borderId="1" xfId="2" applyNumberFormat="1" applyFont="1" applyFill="1" applyBorder="1" applyAlignment="1">
      <alignment horizontal="right"/>
    </xf>
    <xf numFmtId="9" fontId="61" fillId="2" borderId="137" xfId="2" applyFont="1" applyFill="1" applyBorder="1" applyAlignment="1">
      <alignment horizontal="right"/>
    </xf>
    <xf numFmtId="9" fontId="61" fillId="2" borderId="128" xfId="2" applyFont="1" applyFill="1" applyBorder="1" applyAlignment="1">
      <alignment horizontal="right"/>
    </xf>
    <xf numFmtId="9" fontId="61" fillId="2" borderId="1" xfId="2" applyFont="1" applyFill="1" applyBorder="1" applyAlignment="1">
      <alignment horizontal="right"/>
    </xf>
    <xf numFmtId="0" fontId="22" fillId="2" borderId="128" xfId="0" applyFont="1" applyFill="1" applyBorder="1" applyAlignment="1">
      <alignment horizontal="right"/>
    </xf>
    <xf numFmtId="167" fontId="22" fillId="2" borderId="137" xfId="0" applyNumberFormat="1" applyFont="1" applyFill="1" applyBorder="1" applyAlignment="1">
      <alignment horizontal="right"/>
    </xf>
    <xf numFmtId="165" fontId="9" fillId="2" borderId="136" xfId="1" applyNumberFormat="1" applyFont="1" applyFill="1" applyBorder="1" applyAlignment="1">
      <alignment horizontal="right" vertical="center" wrapText="1"/>
    </xf>
    <xf numFmtId="0" fontId="22" fillId="2" borderId="133" xfId="0" applyFont="1" applyFill="1" applyBorder="1" applyAlignment="1">
      <alignment horizontal="right"/>
    </xf>
    <xf numFmtId="1" fontId="22" fillId="2" borderId="127" xfId="0" applyNumberFormat="1" applyFont="1" applyFill="1" applyBorder="1" applyAlignment="1">
      <alignment horizontal="right"/>
    </xf>
    <xf numFmtId="167" fontId="22" fillId="2" borderId="134" xfId="0" applyNumberFormat="1" applyFont="1" applyFill="1" applyBorder="1" applyAlignment="1">
      <alignment horizontal="right"/>
    </xf>
    <xf numFmtId="0" fontId="9" fillId="2" borderId="135" xfId="0" applyFont="1" applyFill="1" applyBorder="1" applyAlignment="1">
      <alignment horizontal="right"/>
    </xf>
    <xf numFmtId="0" fontId="9" fillId="2" borderId="136" xfId="0" applyFont="1" applyFill="1" applyBorder="1" applyAlignment="1">
      <alignment horizontal="right"/>
    </xf>
    <xf numFmtId="168" fontId="22" fillId="2" borderId="133" xfId="0" applyNumberFormat="1" applyFont="1" applyFill="1" applyBorder="1" applyAlignment="1">
      <alignment horizontal="right"/>
    </xf>
    <xf numFmtId="168" fontId="22" fillId="2" borderId="128" xfId="0" applyNumberFormat="1" applyFont="1" applyFill="1" applyBorder="1" applyAlignment="1">
      <alignment horizontal="right"/>
    </xf>
    <xf numFmtId="170" fontId="27" fillId="3" borderId="51" xfId="8" applyNumberFormat="1" applyFont="1" applyFill="1" applyBorder="1" applyAlignment="1">
      <alignment horizontal="right" vertical="center" wrapText="1"/>
    </xf>
    <xf numFmtId="170" fontId="26" fillId="0" borderId="26" xfId="8" applyNumberFormat="1" applyFont="1" applyFill="1" applyBorder="1" applyAlignment="1">
      <alignment horizontal="right" vertical="center" wrapText="1"/>
    </xf>
    <xf numFmtId="170" fontId="27" fillId="3" borderId="52" xfId="8" applyNumberFormat="1" applyFont="1" applyFill="1" applyBorder="1" applyAlignment="1">
      <alignment horizontal="right" vertical="center" wrapText="1"/>
    </xf>
    <xf numFmtId="170" fontId="60" fillId="3" borderId="102" xfId="8" applyNumberFormat="1" applyFont="1" applyFill="1" applyBorder="1" applyAlignment="1">
      <alignment horizontal="right" vertical="center" wrapText="1"/>
    </xf>
    <xf numFmtId="170" fontId="45" fillId="0" borderId="26" xfId="8" applyNumberFormat="1" applyFont="1" applyFill="1" applyBorder="1" applyAlignment="1">
      <alignment horizontal="right" vertical="center"/>
    </xf>
    <xf numFmtId="170" fontId="60" fillId="4" borderId="102" xfId="8" applyNumberFormat="1" applyFont="1" applyFill="1" applyBorder="1" applyAlignment="1">
      <alignment horizontal="right" vertical="center" wrapText="1"/>
    </xf>
    <xf numFmtId="170" fontId="26" fillId="2" borderId="26" xfId="8" applyNumberFormat="1" applyFont="1" applyFill="1" applyBorder="1" applyAlignment="1">
      <alignment horizontal="right" vertical="center" wrapText="1"/>
    </xf>
    <xf numFmtId="170" fontId="27" fillId="2" borderId="52" xfId="8" applyNumberFormat="1" applyFont="1" applyFill="1" applyBorder="1" applyAlignment="1">
      <alignment horizontal="right" vertical="center" wrapText="1"/>
    </xf>
    <xf numFmtId="170" fontId="22" fillId="0" borderId="52" xfId="8" applyNumberFormat="1" applyFont="1" applyBorder="1" applyAlignment="1">
      <alignment horizontal="right" vertical="center"/>
    </xf>
    <xf numFmtId="1" fontId="6" fillId="0" borderId="61" xfId="0" applyNumberFormat="1" applyFont="1" applyBorder="1" applyAlignment="1">
      <alignment horizontal="right"/>
    </xf>
    <xf numFmtId="165" fontId="26" fillId="2" borderId="4" xfId="14" applyNumberFormat="1" applyFont="1" applyFill="1" applyBorder="1" applyAlignment="1">
      <alignment horizontal="right" wrapText="1"/>
    </xf>
    <xf numFmtId="1" fontId="6" fillId="0" borderId="74" xfId="0" applyNumberFormat="1" applyFont="1" applyBorder="1" applyAlignment="1">
      <alignment horizontal="right"/>
    </xf>
    <xf numFmtId="1" fontId="6" fillId="0" borderId="0" xfId="0" applyNumberFormat="1" applyFont="1" applyAlignment="1">
      <alignment horizontal="right"/>
    </xf>
    <xf numFmtId="1" fontId="6" fillId="0" borderId="28" xfId="0" applyNumberFormat="1" applyFont="1" applyBorder="1" applyAlignment="1">
      <alignment horizontal="right"/>
    </xf>
    <xf numFmtId="165" fontId="27" fillId="2" borderId="4" xfId="14" applyNumberFormat="1" applyFont="1" applyFill="1" applyBorder="1" applyAlignment="1">
      <alignment horizontal="right" wrapText="1"/>
    </xf>
    <xf numFmtId="166" fontId="25" fillId="2" borderId="4" xfId="14" applyNumberFormat="1" applyFont="1" applyFill="1" applyBorder="1" applyAlignment="1">
      <alignment horizontal="right" wrapText="1"/>
    </xf>
    <xf numFmtId="1" fontId="6" fillId="0" borderId="67" xfId="0" applyNumberFormat="1" applyFont="1" applyBorder="1" applyAlignment="1">
      <alignment horizontal="right"/>
    </xf>
    <xf numFmtId="1" fontId="6" fillId="0" borderId="68" xfId="0" applyNumberFormat="1" applyFont="1" applyBorder="1" applyAlignment="1">
      <alignment horizontal="right"/>
    </xf>
    <xf numFmtId="1" fontId="6" fillId="0" borderId="75" xfId="0" applyNumberFormat="1" applyFont="1" applyBorder="1" applyAlignment="1">
      <alignment horizontal="right"/>
    </xf>
    <xf numFmtId="1" fontId="6" fillId="0" borderId="77" xfId="0" applyNumberFormat="1" applyFont="1" applyBorder="1" applyAlignment="1">
      <alignment horizontal="right"/>
    </xf>
    <xf numFmtId="1" fontId="6" fillId="0" borderId="69" xfId="0" applyNumberFormat="1" applyFont="1" applyBorder="1" applyAlignment="1">
      <alignment horizontal="right"/>
    </xf>
    <xf numFmtId="0" fontId="29" fillId="0" borderId="64" xfId="14" applyFont="1" applyBorder="1" applyAlignment="1">
      <alignment vertical="center"/>
    </xf>
    <xf numFmtId="0" fontId="29" fillId="0" borderId="65" xfId="14" applyFont="1" applyBorder="1" applyAlignment="1">
      <alignment vertical="center"/>
    </xf>
    <xf numFmtId="1" fontId="27" fillId="0" borderId="64" xfId="14" applyNumberFormat="1" applyFont="1" applyBorder="1" applyAlignment="1">
      <alignment horizontal="center"/>
    </xf>
    <xf numFmtId="165" fontId="27" fillId="2" borderId="4" xfId="14" applyNumberFormat="1" applyFont="1" applyFill="1" applyBorder="1" applyAlignment="1">
      <alignment horizontal="center" wrapText="1"/>
    </xf>
    <xf numFmtId="1" fontId="27" fillId="0" borderId="76" xfId="14" applyNumberFormat="1" applyFont="1" applyBorder="1" applyAlignment="1">
      <alignment horizontal="center"/>
    </xf>
    <xf numFmtId="3" fontId="26" fillId="2" borderId="28" xfId="14" applyNumberFormat="1" applyFont="1" applyFill="1" applyBorder="1" applyAlignment="1">
      <alignment horizontal="right" wrapText="1"/>
    </xf>
    <xf numFmtId="169" fontId="26" fillId="2" borderId="28" xfId="14" applyNumberFormat="1" applyFont="1" applyFill="1" applyBorder="1" applyAlignment="1">
      <alignment horizontal="right" wrapText="1"/>
    </xf>
    <xf numFmtId="165" fontId="26" fillId="2" borderId="0" xfId="14" applyNumberFormat="1" applyFont="1" applyFill="1" applyAlignment="1">
      <alignment horizontal="right" wrapText="1"/>
    </xf>
    <xf numFmtId="1" fontId="26" fillId="2" borderId="28" xfId="14" applyNumberFormat="1" applyFont="1" applyFill="1" applyBorder="1" applyAlignment="1">
      <alignment horizontal="right" wrapText="1"/>
    </xf>
    <xf numFmtId="3" fontId="6" fillId="0" borderId="28" xfId="0" applyNumberFormat="1" applyFont="1" applyBorder="1" applyAlignment="1">
      <alignment horizontal="right"/>
    </xf>
    <xf numFmtId="0" fontId="6" fillId="0" borderId="0" xfId="0" applyFont="1" applyAlignment="1">
      <alignment horizontal="right"/>
    </xf>
    <xf numFmtId="169" fontId="6" fillId="0" borderId="28" xfId="0" applyNumberFormat="1" applyFont="1" applyBorder="1" applyAlignment="1">
      <alignment horizontal="right"/>
    </xf>
    <xf numFmtId="3" fontId="6" fillId="0" borderId="69" xfId="0" applyNumberFormat="1" applyFont="1" applyBorder="1" applyAlignment="1">
      <alignment horizontal="right"/>
    </xf>
    <xf numFmtId="0" fontId="29" fillId="0" borderId="70" xfId="14" applyFont="1" applyBorder="1" applyAlignment="1">
      <alignment vertical="center"/>
    </xf>
    <xf numFmtId="0" fontId="29" fillId="0" borderId="71" xfId="14" applyFont="1" applyBorder="1" applyAlignment="1">
      <alignment vertical="center"/>
    </xf>
    <xf numFmtId="1" fontId="6" fillId="0" borderId="72" xfId="0" applyNumberFormat="1" applyFont="1" applyBorder="1" applyAlignment="1">
      <alignment horizontal="right"/>
    </xf>
    <xf numFmtId="1" fontId="6" fillId="0" borderId="73" xfId="0" applyNumberFormat="1" applyFont="1" applyBorder="1" applyAlignment="1">
      <alignment horizontal="right"/>
    </xf>
    <xf numFmtId="3" fontId="6" fillId="0" borderId="73" xfId="0" applyNumberFormat="1" applyFont="1" applyBorder="1" applyAlignment="1">
      <alignment horizontal="right"/>
    </xf>
    <xf numFmtId="1" fontId="6" fillId="0" borderId="60" xfId="0" applyNumberFormat="1" applyFont="1" applyBorder="1" applyAlignment="1">
      <alignment horizontal="right"/>
    </xf>
    <xf numFmtId="0" fontId="57" fillId="0" borderId="91" xfId="14" applyFont="1" applyBorder="1"/>
    <xf numFmtId="0" fontId="57" fillId="0" borderId="91" xfId="14" applyFont="1" applyBorder="1" applyAlignment="1">
      <alignment horizontal="left"/>
    </xf>
    <xf numFmtId="0" fontId="55" fillId="0" borderId="94" xfId="14" applyFont="1" applyBorder="1" applyAlignment="1">
      <alignment horizontal="left" vertical="center"/>
    </xf>
    <xf numFmtId="0" fontId="47" fillId="0" borderId="0" xfId="14" applyFont="1" applyAlignment="1">
      <alignment horizontal="left" vertical="center"/>
    </xf>
    <xf numFmtId="3" fontId="20" fillId="2" borderId="4" xfId="14" applyNumberFormat="1" applyFont="1" applyFill="1" applyBorder="1" applyAlignment="1">
      <alignment horizontal="center" vertical="center" wrapText="1"/>
    </xf>
    <xf numFmtId="3" fontId="21" fillId="2" borderId="4" xfId="14" applyNumberFormat="1" applyFont="1" applyFill="1" applyBorder="1" applyAlignment="1">
      <alignment horizontal="center" vertical="center" wrapText="1"/>
    </xf>
    <xf numFmtId="3" fontId="23" fillId="2" borderId="4" xfId="14" applyNumberFormat="1" applyFont="1" applyFill="1" applyBorder="1" applyAlignment="1">
      <alignment horizontal="center" vertical="center" wrapText="1"/>
    </xf>
    <xf numFmtId="3" fontId="29" fillId="0" borderId="64" xfId="14" applyNumberFormat="1" applyFont="1" applyBorder="1" applyAlignment="1">
      <alignment horizontal="center" vertical="center"/>
    </xf>
    <xf numFmtId="3" fontId="32" fillId="2" borderId="4" xfId="14" applyNumberFormat="1" applyFont="1" applyFill="1" applyBorder="1" applyAlignment="1">
      <alignment horizontal="center" vertical="center" wrapText="1"/>
    </xf>
    <xf numFmtId="3" fontId="29" fillId="0" borderId="76" xfId="14" applyNumberFormat="1" applyFont="1" applyBorder="1" applyAlignment="1">
      <alignment horizontal="center" vertical="center"/>
    </xf>
    <xf numFmtId="3" fontId="0" fillId="2" borderId="0" xfId="0" applyNumberFormat="1" applyFill="1" applyAlignment="1">
      <alignment horizontal="right" vertical="center"/>
    </xf>
    <xf numFmtId="3" fontId="26" fillId="2" borderId="28" xfId="14" applyNumberFormat="1" applyFont="1" applyFill="1" applyBorder="1" applyAlignment="1">
      <alignment horizontal="right" vertical="center" wrapText="1"/>
    </xf>
    <xf numFmtId="3" fontId="20" fillId="2" borderId="4" xfId="14" applyNumberFormat="1" applyFont="1" applyFill="1" applyBorder="1" applyAlignment="1">
      <alignment horizontal="right" vertical="center" wrapText="1"/>
    </xf>
    <xf numFmtId="3" fontId="20" fillId="2" borderId="0" xfId="14" applyNumberFormat="1" applyFont="1" applyFill="1" applyAlignment="1">
      <alignment horizontal="right" vertical="center" wrapText="1"/>
    </xf>
    <xf numFmtId="3" fontId="6" fillId="0" borderId="28" xfId="0" applyNumberFormat="1" applyFont="1" applyBorder="1" applyAlignment="1">
      <alignment horizontal="right" vertical="center"/>
    </xf>
    <xf numFmtId="3" fontId="6" fillId="0" borderId="69" xfId="0" applyNumberFormat="1" applyFont="1" applyBorder="1" applyAlignment="1">
      <alignment horizontal="right" vertical="center"/>
    </xf>
    <xf numFmtId="3" fontId="24" fillId="2" borderId="0" xfId="0" applyNumberFormat="1" applyFont="1" applyFill="1" applyAlignment="1">
      <alignment horizontal="center" vertical="center"/>
    </xf>
    <xf numFmtId="3" fontId="0" fillId="2" borderId="0" xfId="0" applyNumberFormat="1" applyFill="1"/>
    <xf numFmtId="3" fontId="54" fillId="2" borderId="0" xfId="0" applyNumberFormat="1" applyFont="1" applyFill="1" applyAlignment="1">
      <alignment horizontal="center"/>
    </xf>
    <xf numFmtId="0" fontId="54" fillId="2" borderId="0" xfId="0" applyFont="1" applyFill="1"/>
    <xf numFmtId="0" fontId="50" fillId="0" borderId="0" xfId="14" applyFont="1" applyAlignment="1">
      <alignment horizontal="left" vertical="center"/>
    </xf>
    <xf numFmtId="3" fontId="50" fillId="2" borderId="0" xfId="0" applyNumberFormat="1" applyFont="1" applyFill="1" applyAlignment="1">
      <alignment horizontal="center" vertical="center"/>
    </xf>
    <xf numFmtId="0" fontId="52" fillId="2" borderId="0" xfId="0" applyFont="1" applyFill="1"/>
    <xf numFmtId="165" fontId="29" fillId="2" borderId="4" xfId="14" applyNumberFormat="1" applyFont="1" applyFill="1" applyBorder="1" applyAlignment="1">
      <alignment horizontal="right" wrapText="1"/>
    </xf>
    <xf numFmtId="165" fontId="35" fillId="2" borderId="28" xfId="14" applyNumberFormat="1" applyFont="1" applyFill="1" applyBorder="1" applyAlignment="1">
      <alignment horizontal="right" wrapText="1"/>
    </xf>
    <xf numFmtId="3" fontId="0" fillId="0" borderId="149" xfId="0" applyNumberFormat="1" applyBorder="1"/>
    <xf numFmtId="1" fontId="5" fillId="0" borderId="28" xfId="0" applyNumberFormat="1" applyFont="1" applyBorder="1" applyAlignment="1">
      <alignment horizontal="right"/>
    </xf>
    <xf numFmtId="1" fontId="5" fillId="0" borderId="69" xfId="0" applyNumberFormat="1" applyFont="1" applyBorder="1" applyAlignment="1">
      <alignment horizontal="right"/>
    </xf>
    <xf numFmtId="1" fontId="26" fillId="0" borderId="28" xfId="14" applyNumberFormat="1" applyFont="1" applyBorder="1" applyAlignment="1">
      <alignment horizontal="right" wrapText="1"/>
    </xf>
    <xf numFmtId="3" fontId="0" fillId="0" borderId="74" xfId="0" applyNumberFormat="1" applyBorder="1" applyAlignment="1">
      <alignment horizontal="right" vertical="center"/>
    </xf>
    <xf numFmtId="49" fontId="0" fillId="0" borderId="67" xfId="0" applyNumberFormat="1" applyBorder="1"/>
    <xf numFmtId="3" fontId="26" fillId="0" borderId="28" xfId="14" applyNumberFormat="1" applyFont="1" applyBorder="1" applyAlignment="1">
      <alignment horizontal="right" vertical="center" wrapText="1"/>
    </xf>
    <xf numFmtId="3" fontId="5" fillId="0" borderId="28" xfId="0" applyNumberFormat="1" applyFont="1" applyBorder="1" applyAlignment="1">
      <alignment horizontal="right" vertical="center"/>
    </xf>
    <xf numFmtId="166" fontId="34" fillId="0" borderId="99" xfId="2" applyNumberFormat="1" applyFont="1" applyFill="1" applyBorder="1" applyAlignment="1">
      <alignment horizontal="right"/>
    </xf>
    <xf numFmtId="172" fontId="5" fillId="2" borderId="135" xfId="13" applyNumberFormat="1" applyFont="1" applyFill="1" applyBorder="1" applyAlignment="1">
      <alignment horizontal="right" vertical="center" wrapText="1"/>
    </xf>
    <xf numFmtId="0" fontId="33" fillId="2" borderId="28" xfId="0" applyFont="1" applyFill="1" applyBorder="1"/>
    <xf numFmtId="165" fontId="20" fillId="0" borderId="5" xfId="1" applyNumberFormat="1" applyFont="1" applyBorder="1" applyAlignment="1">
      <alignment horizontal="center" vertical="center" wrapText="1"/>
    </xf>
    <xf numFmtId="9" fontId="43" fillId="2" borderId="9" xfId="2" applyFont="1" applyFill="1" applyBorder="1" applyAlignment="1">
      <alignment horizontal="right" vertical="center" wrapText="1"/>
    </xf>
    <xf numFmtId="9" fontId="25" fillId="2" borderId="140" xfId="2" applyFont="1" applyFill="1" applyBorder="1" applyAlignment="1">
      <alignment horizontal="right" vertical="center" wrapText="1"/>
    </xf>
    <xf numFmtId="9" fontId="25" fillId="2" borderId="141" xfId="2" applyFont="1" applyFill="1" applyBorder="1" applyAlignment="1">
      <alignment horizontal="right" vertical="center" wrapText="1"/>
    </xf>
    <xf numFmtId="172" fontId="22" fillId="2" borderId="152" xfId="0" applyNumberFormat="1" applyFont="1" applyFill="1" applyBorder="1" applyAlignment="1">
      <alignment horizontal="right"/>
    </xf>
    <xf numFmtId="172" fontId="22" fillId="2" borderId="151" xfId="0" applyNumberFormat="1" applyFont="1" applyFill="1" applyBorder="1" applyAlignment="1">
      <alignment horizontal="right"/>
    </xf>
    <xf numFmtId="172" fontId="22" fillId="2" borderId="153" xfId="0" applyNumberFormat="1" applyFont="1" applyFill="1" applyBorder="1" applyAlignment="1">
      <alignment horizontal="right"/>
    </xf>
    <xf numFmtId="172" fontId="22" fillId="2" borderId="133" xfId="0" applyNumberFormat="1" applyFont="1" applyFill="1" applyBorder="1" applyAlignment="1">
      <alignment horizontal="right"/>
    </xf>
    <xf numFmtId="172" fontId="9" fillId="2" borderId="9" xfId="13" applyNumberFormat="1" applyFont="1" applyFill="1" applyBorder="1" applyAlignment="1">
      <alignment vertical="center" wrapText="1"/>
    </xf>
    <xf numFmtId="172" fontId="26" fillId="2" borderId="9" xfId="13" applyNumberFormat="1" applyFont="1" applyFill="1" applyBorder="1" applyAlignment="1">
      <alignment vertical="center" wrapText="1"/>
    </xf>
    <xf numFmtId="172" fontId="26" fillId="2" borderId="11" xfId="13" applyNumberFormat="1" applyFont="1" applyFill="1" applyBorder="1" applyAlignment="1">
      <alignment vertical="center" wrapText="1"/>
    </xf>
    <xf numFmtId="172" fontId="9" fillId="2" borderId="150" xfId="13" applyNumberFormat="1" applyFont="1" applyFill="1" applyBorder="1" applyAlignment="1">
      <alignment vertical="center" wrapText="1"/>
    </xf>
    <xf numFmtId="172" fontId="26" fillId="2" borderId="74" xfId="13" applyNumberFormat="1" applyFont="1" applyFill="1" applyBorder="1" applyAlignment="1">
      <alignment vertical="center" wrapText="1"/>
    </xf>
    <xf numFmtId="172" fontId="9" fillId="2" borderId="74" xfId="13" applyNumberFormat="1" applyFont="1" applyFill="1" applyBorder="1" applyAlignment="1">
      <alignment vertical="center" wrapText="1"/>
    </xf>
    <xf numFmtId="172" fontId="26" fillId="2" borderId="154" xfId="13" applyNumberFormat="1" applyFont="1" applyFill="1" applyBorder="1" applyAlignment="1">
      <alignment vertical="center" wrapText="1"/>
    </xf>
    <xf numFmtId="1" fontId="4" fillId="0" borderId="28" xfId="0" applyNumberFormat="1" applyFont="1" applyBorder="1" applyAlignment="1">
      <alignment horizontal="right"/>
    </xf>
    <xf numFmtId="1" fontId="4" fillId="0" borderId="69" xfId="0" applyNumberFormat="1" applyFont="1" applyBorder="1" applyAlignment="1">
      <alignment horizontal="right"/>
    </xf>
    <xf numFmtId="1" fontId="4" fillId="0" borderId="73" xfId="0" applyNumberFormat="1" applyFont="1" applyBorder="1" applyAlignment="1">
      <alignment horizontal="right"/>
    </xf>
    <xf numFmtId="1" fontId="63" fillId="0" borderId="28" xfId="0" applyNumberFormat="1" applyFont="1" applyBorder="1" applyAlignment="1">
      <alignment horizontal="right"/>
    </xf>
    <xf numFmtId="3" fontId="64" fillId="0" borderId="0" xfId="0" applyNumberFormat="1" applyFont="1" applyAlignment="1">
      <alignment horizontal="center" vertical="center"/>
    </xf>
    <xf numFmtId="0" fontId="63" fillId="0" borderId="0" xfId="0" applyFont="1"/>
    <xf numFmtId="3" fontId="4" fillId="0" borderId="28" xfId="0" applyNumberFormat="1" applyFont="1" applyBorder="1" applyAlignment="1">
      <alignment horizontal="right" vertical="center"/>
    </xf>
    <xf numFmtId="3" fontId="4" fillId="0" borderId="69" xfId="0" applyNumberFormat="1" applyFont="1" applyBorder="1" applyAlignment="1">
      <alignment horizontal="right" vertical="center"/>
    </xf>
    <xf numFmtId="172" fontId="4" fillId="2" borderId="59" xfId="13" applyNumberFormat="1" applyFont="1" applyFill="1" applyBorder="1" applyAlignment="1">
      <alignment horizontal="right" vertical="center" wrapText="1"/>
    </xf>
    <xf numFmtId="0" fontId="4" fillId="2" borderId="59" xfId="0" applyFont="1" applyFill="1" applyBorder="1" applyAlignment="1">
      <alignment horizontal="right"/>
    </xf>
    <xf numFmtId="0" fontId="4" fillId="2" borderId="2" xfId="0" applyFont="1" applyFill="1" applyBorder="1" applyAlignment="1">
      <alignment horizontal="right"/>
    </xf>
    <xf numFmtId="1" fontId="4" fillId="2" borderId="59" xfId="13" applyNumberFormat="1" applyFont="1" applyFill="1" applyBorder="1" applyAlignment="1">
      <alignment horizontal="right" vertical="center" wrapText="1"/>
    </xf>
    <xf numFmtId="172" fontId="4" fillId="2" borderId="59" xfId="13" applyNumberFormat="1" applyFont="1" applyFill="1" applyBorder="1" applyAlignment="1">
      <alignment vertical="center" wrapText="1"/>
    </xf>
    <xf numFmtId="0" fontId="4" fillId="2" borderId="27" xfId="0" applyFont="1" applyFill="1" applyBorder="1" applyAlignment="1">
      <alignment horizontal="right" vertical="center"/>
    </xf>
    <xf numFmtId="170" fontId="4" fillId="2" borderId="28" xfId="8" applyNumberFormat="1" applyFont="1" applyFill="1" applyBorder="1" applyAlignment="1">
      <alignment horizontal="right" vertical="center" indent="1"/>
    </xf>
    <xf numFmtId="170" fontId="4" fillId="2" borderId="96" xfId="8" applyNumberFormat="1" applyFont="1" applyFill="1" applyBorder="1" applyAlignment="1">
      <alignment horizontal="right" vertical="center" indent="1"/>
    </xf>
    <xf numFmtId="170" fontId="4" fillId="2" borderId="28" xfId="8" applyNumberFormat="1" applyFont="1" applyFill="1" applyBorder="1" applyAlignment="1">
      <alignment horizontal="right" vertical="center"/>
    </xf>
    <xf numFmtId="170" fontId="4" fillId="2" borderId="96" xfId="8" applyNumberFormat="1" applyFont="1" applyFill="1" applyBorder="1" applyAlignment="1">
      <alignment horizontal="right" vertical="center"/>
    </xf>
    <xf numFmtId="170" fontId="4" fillId="2" borderId="105" xfId="8" applyNumberFormat="1" applyFont="1" applyFill="1" applyBorder="1" applyAlignment="1">
      <alignment horizontal="right" vertical="center"/>
    </xf>
    <xf numFmtId="0" fontId="4" fillId="2" borderId="0" xfId="0" applyFont="1" applyFill="1"/>
    <xf numFmtId="0" fontId="4" fillId="0" borderId="0" xfId="0" applyFont="1"/>
    <xf numFmtId="165" fontId="27" fillId="2" borderId="147" xfId="1" applyNumberFormat="1" applyFont="1" applyFill="1" applyBorder="1" applyAlignment="1">
      <alignment horizontal="center" wrapText="1"/>
    </xf>
    <xf numFmtId="165" fontId="9" fillId="2" borderId="84" xfId="1" applyNumberFormat="1" applyFont="1" applyFill="1" applyBorder="1" applyAlignment="1">
      <alignment horizontal="center" vertical="center" wrapText="1"/>
    </xf>
    <xf numFmtId="165" fontId="26" fillId="2" borderId="84" xfId="1" applyNumberFormat="1" applyFont="1" applyFill="1" applyBorder="1" applyAlignment="1">
      <alignment horizontal="center" vertical="center" wrapText="1"/>
    </xf>
    <xf numFmtId="0" fontId="9" fillId="2" borderId="84" xfId="0" applyFont="1" applyFill="1" applyBorder="1" applyAlignment="1">
      <alignment horizontal="center"/>
    </xf>
    <xf numFmtId="0" fontId="9" fillId="2" borderId="145" xfId="0" applyFont="1" applyFill="1" applyBorder="1"/>
    <xf numFmtId="9" fontId="61" fillId="2" borderId="144" xfId="2" applyFont="1" applyFill="1" applyBorder="1" applyAlignment="1">
      <alignment horizontal="center"/>
    </xf>
    <xf numFmtId="9" fontId="43" fillId="2" borderId="84" xfId="2" applyFont="1" applyFill="1" applyBorder="1" applyAlignment="1">
      <alignment horizontal="center" vertical="center" wrapText="1"/>
    </xf>
    <xf numFmtId="9" fontId="25" fillId="2" borderId="84" xfId="2" applyFont="1" applyFill="1" applyBorder="1" applyAlignment="1">
      <alignment horizontal="center" vertical="center" wrapText="1"/>
    </xf>
    <xf numFmtId="168" fontId="22" fillId="2" borderId="144" xfId="0" applyNumberFormat="1" applyFont="1" applyFill="1" applyBorder="1" applyAlignment="1">
      <alignment horizontal="left" indent="2"/>
    </xf>
    <xf numFmtId="9" fontId="25" fillId="2" borderId="146" xfId="2" applyFont="1" applyFill="1" applyBorder="1" applyAlignment="1">
      <alignment horizontal="center" vertical="center" wrapText="1"/>
    </xf>
    <xf numFmtId="172" fontId="22" fillId="2" borderId="137" xfId="13" applyNumberFormat="1" applyFont="1" applyFill="1" applyBorder="1" applyAlignment="1"/>
    <xf numFmtId="172" fontId="9" fillId="2" borderId="136" xfId="13" applyNumberFormat="1" applyFont="1" applyFill="1" applyBorder="1" applyAlignment="1">
      <alignment vertical="center" wrapText="1"/>
    </xf>
    <xf numFmtId="0" fontId="26" fillId="2" borderId="84" xfId="1" applyFont="1" applyFill="1" applyBorder="1" applyAlignment="1">
      <alignment horizontal="center" vertical="center" wrapText="1"/>
    </xf>
    <xf numFmtId="172" fontId="9" fillId="2" borderId="142" xfId="13" applyNumberFormat="1" applyFont="1" applyFill="1" applyBorder="1" applyAlignment="1">
      <alignment vertical="center" wrapText="1"/>
    </xf>
    <xf numFmtId="165" fontId="26" fillId="2" borderId="148" xfId="1" applyNumberFormat="1" applyFont="1" applyFill="1" applyBorder="1" applyAlignment="1">
      <alignment horizontal="center" wrapText="1"/>
    </xf>
    <xf numFmtId="170" fontId="27" fillId="2" borderId="58" xfId="8" applyNumberFormat="1" applyFont="1" applyFill="1" applyBorder="1" applyAlignment="1">
      <alignment horizontal="center" vertical="center" wrapText="1"/>
    </xf>
    <xf numFmtId="170" fontId="27" fillId="2" borderId="121" xfId="8" applyNumberFormat="1" applyFont="1" applyFill="1" applyBorder="1" applyAlignment="1">
      <alignment horizontal="left" vertical="center" wrapText="1" indent="3"/>
    </xf>
    <xf numFmtId="170" fontId="26" fillId="2" borderId="122" xfId="8" applyNumberFormat="1" applyFont="1" applyFill="1" applyBorder="1" applyAlignment="1">
      <alignment horizontal="left" vertical="center" wrapText="1" indent="3"/>
    </xf>
    <xf numFmtId="170" fontId="27" fillId="2" borderId="123" xfId="8" applyNumberFormat="1" applyFont="1" applyFill="1" applyBorder="1" applyAlignment="1">
      <alignment horizontal="left" vertical="center" wrapText="1" indent="3"/>
    </xf>
    <xf numFmtId="170" fontId="60" fillId="2" borderId="108" xfId="8" applyNumberFormat="1" applyFont="1" applyFill="1" applyBorder="1" applyAlignment="1">
      <alignment horizontal="center" vertical="center" wrapText="1"/>
    </xf>
    <xf numFmtId="170" fontId="26" fillId="2" borderId="124" xfId="8" applyNumberFormat="1" applyFont="1" applyFill="1" applyBorder="1" applyAlignment="1">
      <alignment horizontal="left" vertical="center" wrapText="1" indent="3"/>
    </xf>
    <xf numFmtId="170" fontId="60" fillId="2" borderId="125" xfId="8" applyNumberFormat="1" applyFont="1" applyFill="1" applyBorder="1" applyAlignment="1">
      <alignment horizontal="left" vertical="center" wrapText="1" indent="3"/>
    </xf>
    <xf numFmtId="170" fontId="26" fillId="2" borderId="122" xfId="8" applyNumberFormat="1" applyFont="1" applyFill="1" applyBorder="1" applyAlignment="1">
      <alignment horizontal="right" vertical="center" wrapText="1"/>
    </xf>
    <xf numFmtId="170" fontId="27" fillId="2" borderId="123" xfId="8" applyNumberFormat="1" applyFont="1" applyFill="1" applyBorder="1" applyAlignment="1">
      <alignment horizontal="right" vertical="center" wrapText="1"/>
    </xf>
    <xf numFmtId="170" fontId="22" fillId="2" borderId="32" xfId="8" applyNumberFormat="1" applyFont="1" applyFill="1" applyBorder="1" applyAlignment="1">
      <alignment horizontal="center" vertical="center"/>
    </xf>
    <xf numFmtId="170" fontId="22" fillId="2" borderId="123" xfId="8" applyNumberFormat="1" applyFont="1" applyFill="1" applyBorder="1" applyAlignment="1">
      <alignment horizontal="right" vertical="center"/>
    </xf>
    <xf numFmtId="170" fontId="65" fillId="2" borderId="121" xfId="8" applyNumberFormat="1" applyFont="1" applyFill="1" applyBorder="1" applyAlignment="1">
      <alignment horizontal="left" vertical="center" wrapText="1" indent="3"/>
    </xf>
    <xf numFmtId="170" fontId="66" fillId="2" borderId="122" xfId="8" applyNumberFormat="1" applyFont="1" applyFill="1" applyBorder="1" applyAlignment="1">
      <alignment horizontal="left" vertical="center" wrapText="1" indent="3"/>
    </xf>
    <xf numFmtId="170" fontId="65" fillId="2" borderId="123" xfId="8" applyNumberFormat="1" applyFont="1" applyFill="1" applyBorder="1" applyAlignment="1">
      <alignment horizontal="left" vertical="center" wrapText="1" indent="3"/>
    </xf>
    <xf numFmtId="170" fontId="66" fillId="2" borderId="124" xfId="8" applyNumberFormat="1" applyFont="1" applyFill="1" applyBorder="1" applyAlignment="1">
      <alignment horizontal="left" vertical="center" wrapText="1" indent="3"/>
    </xf>
    <xf numFmtId="170" fontId="66" fillId="2" borderId="122" xfId="8" applyNumberFormat="1" applyFont="1" applyFill="1" applyBorder="1" applyAlignment="1">
      <alignment horizontal="right" vertical="center" wrapText="1"/>
    </xf>
    <xf numFmtId="170" fontId="65" fillId="2" borderId="123" xfId="8" applyNumberFormat="1" applyFont="1" applyFill="1" applyBorder="1" applyAlignment="1">
      <alignment horizontal="right" vertical="center" wrapText="1"/>
    </xf>
    <xf numFmtId="170" fontId="60" fillId="2" borderId="123" xfId="8" applyNumberFormat="1" applyFont="1" applyFill="1" applyBorder="1" applyAlignment="1">
      <alignment horizontal="right" vertical="center"/>
    </xf>
    <xf numFmtId="166" fontId="25" fillId="2" borderId="0" xfId="2" applyNumberFormat="1" applyFont="1" applyFill="1" applyBorder="1" applyAlignment="1">
      <alignment horizontal="right" vertical="center" wrapText="1"/>
    </xf>
    <xf numFmtId="9" fontId="26" fillId="2" borderId="0" xfId="2" applyFont="1" applyFill="1" applyBorder="1" applyAlignment="1">
      <alignment horizontal="right" vertical="center" wrapText="1"/>
    </xf>
    <xf numFmtId="9" fontId="25" fillId="2" borderId="0" xfId="2" applyFont="1" applyFill="1" applyBorder="1" applyAlignment="1">
      <alignment horizontal="right" vertical="center" wrapText="1"/>
    </xf>
    <xf numFmtId="9" fontId="25" fillId="2" borderId="0" xfId="2" applyFont="1" applyFill="1" applyBorder="1" applyAlignment="1">
      <alignment horizontal="center" vertical="center" wrapText="1"/>
    </xf>
    <xf numFmtId="1" fontId="26" fillId="2" borderId="141" xfId="13" applyNumberFormat="1" applyFont="1" applyFill="1" applyBorder="1" applyAlignment="1">
      <alignment horizontal="right" vertical="center" wrapText="1"/>
    </xf>
    <xf numFmtId="165" fontId="26" fillId="2" borderId="146" xfId="1" applyNumberFormat="1" applyFont="1" applyFill="1" applyBorder="1" applyAlignment="1">
      <alignment horizontal="center" vertical="center" wrapText="1"/>
    </xf>
    <xf numFmtId="1" fontId="26" fillId="2" borderId="0" xfId="13" applyNumberFormat="1" applyFont="1" applyFill="1" applyBorder="1" applyAlignment="1">
      <alignment horizontal="right" vertical="center" wrapText="1"/>
    </xf>
    <xf numFmtId="165" fontId="9" fillId="2" borderId="0" xfId="1" applyNumberFormat="1" applyFont="1" applyFill="1" applyAlignment="1">
      <alignment horizontal="right" vertical="center" wrapText="1"/>
    </xf>
    <xf numFmtId="0" fontId="22" fillId="2" borderId="2" xfId="0" applyFont="1" applyFill="1" applyBorder="1" applyAlignment="1">
      <alignment horizontal="left"/>
    </xf>
    <xf numFmtId="0" fontId="0" fillId="2" borderId="155" xfId="0" applyFill="1" applyBorder="1" applyAlignment="1">
      <alignment horizontal="left" indent="1"/>
    </xf>
    <xf numFmtId="3" fontId="0" fillId="0" borderId="4" xfId="0" applyNumberFormat="1" applyBorder="1"/>
    <xf numFmtId="0" fontId="0" fillId="0" borderId="61" xfId="0" applyBorder="1"/>
    <xf numFmtId="49" fontId="0" fillId="0" borderId="156" xfId="0" applyNumberFormat="1" applyBorder="1"/>
    <xf numFmtId="0" fontId="26" fillId="2" borderId="135" xfId="13" applyNumberFormat="1" applyFont="1" applyFill="1" applyBorder="1" applyAlignment="1">
      <alignment horizontal="right" vertical="center" wrapText="1"/>
    </xf>
    <xf numFmtId="1" fontId="26" fillId="2" borderId="140" xfId="13" applyNumberFormat="1" applyFont="1" applyFill="1" applyBorder="1" applyAlignment="1">
      <alignment horizontal="right" vertical="center" wrapText="1"/>
    </xf>
    <xf numFmtId="9" fontId="0" fillId="2" borderId="0" xfId="0" applyNumberFormat="1" applyFill="1"/>
    <xf numFmtId="173" fontId="0" fillId="0" borderId="0" xfId="0" applyNumberFormat="1"/>
    <xf numFmtId="1" fontId="22" fillId="0" borderId="1" xfId="0" applyNumberFormat="1" applyFont="1" applyBorder="1" applyAlignment="1">
      <alignment horizontal="right"/>
    </xf>
    <xf numFmtId="1" fontId="9" fillId="0" borderId="59" xfId="13" applyNumberFormat="1" applyFont="1" applyFill="1" applyBorder="1" applyAlignment="1">
      <alignment horizontal="right" vertical="center" wrapText="1"/>
    </xf>
    <xf numFmtId="1" fontId="26" fillId="0" borderId="141" xfId="13" applyNumberFormat="1" applyFont="1" applyFill="1" applyBorder="1" applyAlignment="1">
      <alignment horizontal="right" vertical="center" wrapText="1"/>
    </xf>
    <xf numFmtId="174" fontId="22" fillId="2" borderId="133" xfId="0" applyNumberFormat="1" applyFont="1" applyFill="1" applyBorder="1" applyAlignment="1">
      <alignment horizontal="right"/>
    </xf>
    <xf numFmtId="174" fontId="22" fillId="2" borderId="127" xfId="0" applyNumberFormat="1" applyFont="1" applyFill="1" applyBorder="1" applyAlignment="1">
      <alignment horizontal="right"/>
    </xf>
    <xf numFmtId="174" fontId="22" fillId="2" borderId="128" xfId="0" applyNumberFormat="1" applyFont="1" applyFill="1" applyBorder="1" applyAlignment="1">
      <alignment horizontal="right"/>
    </xf>
    <xf numFmtId="174" fontId="22" fillId="2" borderId="1" xfId="0" applyNumberFormat="1" applyFont="1" applyFill="1" applyBorder="1" applyAlignment="1">
      <alignment horizontal="right"/>
    </xf>
    <xf numFmtId="1" fontId="3" fillId="2" borderId="59" xfId="13" applyNumberFormat="1" applyFont="1" applyFill="1" applyBorder="1" applyAlignment="1">
      <alignment horizontal="right" vertical="center" wrapText="1"/>
    </xf>
    <xf numFmtId="3" fontId="2" fillId="0" borderId="28" xfId="0" applyNumberFormat="1" applyFont="1" applyBorder="1" applyAlignment="1">
      <alignment horizontal="right" vertical="center"/>
    </xf>
    <xf numFmtId="168" fontId="22" fillId="8" borderId="144" xfId="0" applyNumberFormat="1" applyFont="1" applyFill="1" applyBorder="1" applyAlignment="1">
      <alignment horizontal="left" indent="2"/>
    </xf>
    <xf numFmtId="165" fontId="26" fillId="8" borderId="84" xfId="1" applyNumberFormat="1" applyFont="1" applyFill="1" applyBorder="1" applyAlignment="1">
      <alignment horizontal="center" vertical="center" wrapText="1"/>
    </xf>
    <xf numFmtId="0" fontId="9" fillId="8" borderId="145" xfId="0" applyFont="1" applyFill="1" applyBorder="1"/>
    <xf numFmtId="9" fontId="61" fillId="8" borderId="144" xfId="2" applyFont="1" applyFill="1" applyBorder="1" applyAlignment="1">
      <alignment horizontal="center"/>
    </xf>
    <xf numFmtId="9" fontId="43" fillId="8" borderId="84" xfId="2" applyFont="1" applyFill="1" applyBorder="1" applyAlignment="1">
      <alignment horizontal="center" vertical="center" wrapText="1"/>
    </xf>
    <xf numFmtId="9" fontId="25" fillId="8" borderId="146" xfId="2" applyFont="1" applyFill="1" applyBorder="1" applyAlignment="1">
      <alignment horizontal="center" vertical="center" wrapText="1"/>
    </xf>
    <xf numFmtId="1" fontId="22" fillId="8" borderId="1" xfId="0" applyNumberFormat="1" applyFont="1" applyFill="1" applyBorder="1" applyAlignment="1">
      <alignment horizontal="right"/>
    </xf>
    <xf numFmtId="1" fontId="9" fillId="8" borderId="59" xfId="13" applyNumberFormat="1" applyFont="1" applyFill="1" applyBorder="1" applyAlignment="1">
      <alignment horizontal="right" vertical="center" wrapText="1"/>
    </xf>
    <xf numFmtId="1" fontId="26" fillId="8" borderId="59" xfId="13" applyNumberFormat="1" applyFont="1" applyFill="1" applyBorder="1" applyAlignment="1">
      <alignment horizontal="right" vertical="center" wrapText="1"/>
    </xf>
    <xf numFmtId="0" fontId="9" fillId="8" borderId="2" xfId="0" applyFont="1" applyFill="1" applyBorder="1" applyAlignment="1">
      <alignment horizontal="right"/>
    </xf>
    <xf numFmtId="166" fontId="61" fillId="8" borderId="1" xfId="2" applyNumberFormat="1" applyFont="1" applyFill="1" applyBorder="1" applyAlignment="1">
      <alignment horizontal="right"/>
    </xf>
    <xf numFmtId="166" fontId="43" fillId="8" borderId="59" xfId="2" applyNumberFormat="1" applyFont="1" applyFill="1" applyBorder="1" applyAlignment="1">
      <alignment horizontal="right" vertical="center" wrapText="1"/>
    </xf>
    <xf numFmtId="166" fontId="25" fillId="8" borderId="59" xfId="2" applyNumberFormat="1" applyFont="1" applyFill="1" applyBorder="1" applyAlignment="1">
      <alignment horizontal="right" vertical="center" wrapText="1"/>
    </xf>
    <xf numFmtId="166" fontId="25" fillId="8" borderId="141" xfId="2" applyNumberFormat="1" applyFont="1" applyFill="1" applyBorder="1" applyAlignment="1">
      <alignment horizontal="right" vertical="center" wrapText="1"/>
    </xf>
    <xf numFmtId="1" fontId="22" fillId="8" borderId="128" xfId="0" applyNumberFormat="1" applyFont="1" applyFill="1" applyBorder="1" applyAlignment="1">
      <alignment horizontal="right"/>
    </xf>
    <xf numFmtId="1" fontId="9" fillId="8" borderId="135" xfId="13" applyNumberFormat="1" applyFont="1" applyFill="1" applyBorder="1" applyAlignment="1">
      <alignment horizontal="right" vertical="center" wrapText="1"/>
    </xf>
    <xf numFmtId="1" fontId="26" fillId="8" borderId="135" xfId="13" applyNumberFormat="1" applyFont="1" applyFill="1" applyBorder="1" applyAlignment="1">
      <alignment horizontal="right" vertical="center" wrapText="1"/>
    </xf>
    <xf numFmtId="0" fontId="9" fillId="8" borderId="138" xfId="0" applyFont="1" applyFill="1" applyBorder="1" applyAlignment="1">
      <alignment horizontal="right"/>
    </xf>
    <xf numFmtId="166" fontId="61" fillId="8" borderId="128" xfId="2" applyNumberFormat="1" applyFont="1" applyFill="1" applyBorder="1" applyAlignment="1">
      <alignment horizontal="right"/>
    </xf>
    <xf numFmtId="166" fontId="43" fillId="8" borderId="135" xfId="2" applyNumberFormat="1" applyFont="1" applyFill="1" applyBorder="1" applyAlignment="1">
      <alignment horizontal="right" vertical="center" wrapText="1"/>
    </xf>
    <xf numFmtId="166" fontId="25" fillId="8" borderId="135" xfId="2" applyNumberFormat="1" applyFont="1" applyFill="1" applyBorder="1" applyAlignment="1">
      <alignment horizontal="right" vertical="center" wrapText="1"/>
    </xf>
    <xf numFmtId="166" fontId="25" fillId="8" borderId="140" xfId="2" applyNumberFormat="1" applyFont="1" applyFill="1" applyBorder="1" applyAlignment="1">
      <alignment horizontal="right" vertical="center" wrapText="1"/>
    </xf>
    <xf numFmtId="165" fontId="67" fillId="2" borderId="28" xfId="1" applyNumberFormat="1" applyFont="1" applyFill="1" applyBorder="1" applyAlignment="1">
      <alignment horizontal="center" vertical="center" wrapText="1"/>
    </xf>
    <xf numFmtId="1" fontId="22" fillId="2" borderId="157" xfId="0" applyNumberFormat="1" applyFont="1" applyFill="1" applyBorder="1" applyAlignment="1">
      <alignment horizontal="right"/>
    </xf>
    <xf numFmtId="172" fontId="1" fillId="2" borderId="136" xfId="13" applyNumberFormat="1" applyFont="1" applyFill="1" applyBorder="1" applyAlignment="1">
      <alignment horizontal="center" vertical="center" wrapText="1"/>
    </xf>
    <xf numFmtId="165" fontId="1" fillId="2" borderId="142" xfId="1" applyNumberFormat="1" applyFont="1" applyFill="1" applyBorder="1" applyAlignment="1">
      <alignment horizontal="right" vertical="center" wrapText="1"/>
    </xf>
    <xf numFmtId="0" fontId="1" fillId="2" borderId="0" xfId="0" applyFont="1" applyFill="1"/>
    <xf numFmtId="0" fontId="68" fillId="3" borderId="0" xfId="0" applyFont="1" applyFill="1" applyAlignment="1">
      <alignment horizontal="center" vertical="center" textRotation="90"/>
    </xf>
    <xf numFmtId="0" fontId="30" fillId="0" borderId="62" xfId="0" applyFont="1" applyBorder="1" applyAlignment="1">
      <alignment horizontal="center" vertical="center" textRotation="90" wrapText="1"/>
    </xf>
    <xf numFmtId="0" fontId="30" fillId="0" borderId="78" xfId="0" applyFont="1" applyBorder="1" applyAlignment="1">
      <alignment horizontal="center" vertical="center" textRotation="90" wrapText="1"/>
    </xf>
    <xf numFmtId="0" fontId="53" fillId="3" borderId="0" xfId="0" applyFont="1" applyFill="1" applyAlignment="1">
      <alignment horizontal="center" vertical="center" textRotation="90"/>
    </xf>
    <xf numFmtId="0" fontId="30" fillId="0" borderId="63" xfId="0" applyFont="1" applyBorder="1" applyAlignment="1">
      <alignment horizontal="center" vertical="center" textRotation="90" wrapText="1"/>
    </xf>
    <xf numFmtId="0" fontId="30" fillId="0" borderId="62" xfId="0" applyFont="1" applyBorder="1" applyAlignment="1">
      <alignment horizontal="right" vertical="center" textRotation="90" wrapText="1"/>
    </xf>
    <xf numFmtId="0" fontId="30" fillId="0" borderId="63" xfId="0" applyFont="1" applyBorder="1" applyAlignment="1">
      <alignment horizontal="right" vertical="center" textRotation="90" wrapText="1"/>
    </xf>
    <xf numFmtId="0" fontId="30" fillId="0" borderId="78" xfId="0" applyFont="1" applyBorder="1" applyAlignment="1">
      <alignment horizontal="right" vertical="center" textRotation="90" wrapText="1"/>
    </xf>
    <xf numFmtId="0" fontId="24" fillId="6" borderId="23" xfId="0" applyFont="1" applyFill="1" applyBorder="1" applyAlignment="1">
      <alignment horizontal="center"/>
    </xf>
    <xf numFmtId="0" fontId="36" fillId="0" borderId="0" xfId="0" applyFont="1" applyAlignment="1">
      <alignment horizontal="left" wrapText="1"/>
    </xf>
    <xf numFmtId="0" fontId="62" fillId="7" borderId="23" xfId="0" applyFont="1" applyFill="1" applyBorder="1" applyAlignment="1">
      <alignment horizontal="center" vertical="center"/>
    </xf>
    <xf numFmtId="0" fontId="62" fillId="7" borderId="23" xfId="0" applyFont="1" applyFill="1" applyBorder="1" applyAlignment="1">
      <alignment horizontal="left" vertical="center"/>
    </xf>
    <xf numFmtId="0" fontId="62" fillId="7" borderId="0" xfId="0" applyFont="1" applyFill="1" applyAlignment="1">
      <alignment horizontal="left" vertical="center"/>
    </xf>
    <xf numFmtId="0" fontId="36" fillId="0" borderId="0" xfId="0" applyFont="1" applyAlignment="1">
      <alignment horizontal="left" vertical="center" wrapText="1"/>
    </xf>
    <xf numFmtId="0" fontId="44" fillId="5" borderId="22" xfId="0" applyFont="1" applyFill="1" applyBorder="1" applyAlignment="1">
      <alignment horizontal="center"/>
    </xf>
    <xf numFmtId="0" fontId="44" fillId="5" borderId="23" xfId="0" applyFont="1" applyFill="1" applyBorder="1" applyAlignment="1">
      <alignment horizontal="center"/>
    </xf>
    <xf numFmtId="0" fontId="44" fillId="5" borderId="24" xfId="0" applyFont="1" applyFill="1" applyBorder="1" applyAlignment="1">
      <alignment horizontal="center"/>
    </xf>
    <xf numFmtId="0" fontId="44" fillId="5" borderId="17" xfId="0" applyFont="1" applyFill="1" applyBorder="1" applyAlignment="1">
      <alignment horizontal="center"/>
    </xf>
    <xf numFmtId="0" fontId="44" fillId="5" borderId="0" xfId="0" applyFont="1" applyFill="1" applyAlignment="1">
      <alignment horizontal="center"/>
    </xf>
    <xf numFmtId="0" fontId="44" fillId="5" borderId="18" xfId="0" applyFont="1" applyFill="1" applyBorder="1" applyAlignment="1">
      <alignment horizontal="center"/>
    </xf>
  </cellXfs>
  <cellStyles count="15">
    <cellStyle name="Dziesiętny" xfId="13" builtinId="3"/>
    <cellStyle name="Dziesiętny 2" xfId="8" xr:uid="{00000000-0005-0000-0000-000001000000}"/>
    <cellStyle name="Normal 2 4" xfId="6" xr:uid="{00000000-0005-0000-0000-000002000000}"/>
    <cellStyle name="Normal 2 4 2" xfId="1" xr:uid="{00000000-0005-0000-0000-000003000000}"/>
    <cellStyle name="Normal 2 4 2 2" xfId="4" xr:uid="{00000000-0005-0000-0000-000004000000}"/>
    <cellStyle name="Normal 2 4 2 2 2" xfId="5" xr:uid="{00000000-0005-0000-0000-000005000000}"/>
    <cellStyle name="Normal 2 4 2 2 2 2" xfId="7" xr:uid="{00000000-0005-0000-0000-000006000000}"/>
    <cellStyle name="Normal 2 4 2 2 2 2 2" xfId="10" xr:uid="{00000000-0005-0000-0000-000007000000}"/>
    <cellStyle name="Normal 2 4 2 2 2 2 2 2" xfId="14" xr:uid="{00000000-0005-0000-0000-000008000000}"/>
    <cellStyle name="Normal 2 4 2 3" xfId="9" xr:uid="{00000000-0005-0000-0000-000009000000}"/>
    <cellStyle name="Normal 44" xfId="3" xr:uid="{00000000-0005-0000-0000-00000A000000}"/>
    <cellStyle name="Normalny" xfId="0" builtinId="0"/>
    <cellStyle name="Normalny 2 10" xfId="12" xr:uid="{00000000-0005-0000-0000-00000C000000}"/>
    <cellStyle name="Normalny 2 14" xfId="11" xr:uid="{00000000-0005-0000-0000-00000D000000}"/>
    <cellStyle name="Procentowy" xfId="2" builtinId="5"/>
  </cellStyles>
  <dxfs count="2"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colors>
    <mruColors>
      <color rgb="FFFA551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38100</xdr:rowOff>
    </xdr:from>
    <xdr:to>
      <xdr:col>9</xdr:col>
      <xdr:colOff>594360</xdr:colOff>
      <xdr:row>11</xdr:row>
      <xdr:rowOff>169657</xdr:rowOff>
    </xdr:to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609600" y="586740"/>
          <a:ext cx="5471160" cy="159459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l-PL" sz="2000" b="1">
              <a:latin typeface="Arial" panose="020B0604020202020204" pitchFamily="34" charset="0"/>
              <a:cs typeface="Arial" panose="020B0604020202020204" pitchFamily="34" charset="0"/>
            </a:rPr>
            <a:t>Grupa CCC  </a:t>
          </a:r>
          <a:br>
            <a:rPr lang="pl-PL" sz="2000" b="1"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pl-PL" sz="1400" b="0">
              <a:latin typeface="Arial" panose="020B0604020202020204" pitchFamily="34" charset="0"/>
              <a:cs typeface="Arial" panose="020B0604020202020204" pitchFamily="34" charset="0"/>
            </a:rPr>
            <a:t>Podstawowe</a:t>
          </a:r>
          <a:r>
            <a:rPr lang="pl-PL" sz="1400" b="0" baseline="0">
              <a:latin typeface="Arial" panose="020B0604020202020204" pitchFamily="34" charset="0"/>
              <a:cs typeface="Arial" panose="020B0604020202020204" pitchFamily="34" charset="0"/>
            </a:rPr>
            <a:t> dane finansowe wg MSSF</a:t>
          </a:r>
        </a:p>
        <a:p>
          <a:pPr algn="ctr"/>
          <a:endParaRPr lang="pl-PL" sz="1400" b="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pl-PL" sz="1400" b="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l-PL" sz="20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CCC Group</a:t>
          </a:r>
          <a:br>
            <a:rPr lang="pl-PL" sz="20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pl-PL" sz="1400" b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Essential financial data under </a:t>
          </a:r>
          <a:r>
            <a:rPr lang="pl-PL" sz="1400" b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IFRS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GB" sz="1400">
            <a:effectLst/>
          </a:endParaRPr>
        </a:p>
        <a:p>
          <a:pPr algn="ctr"/>
          <a:endParaRPr lang="pl-PL" sz="1400" b="0" baseline="0"/>
        </a:p>
        <a:p>
          <a:pPr algn="ctr"/>
          <a:endParaRPr lang="en-GB" sz="2000" b="1"/>
        </a:p>
      </xdr:txBody>
    </xdr:sp>
    <xdr:clientData/>
  </xdr:twoCellAnchor>
  <xdr:twoCellAnchor>
    <xdr:from>
      <xdr:col>1</xdr:col>
      <xdr:colOff>15240</xdr:colOff>
      <xdr:row>14</xdr:row>
      <xdr:rowOff>167638</xdr:rowOff>
    </xdr:from>
    <xdr:to>
      <xdr:col>4</xdr:col>
      <xdr:colOff>598440</xdr:colOff>
      <xdr:row>25</xdr:row>
      <xdr:rowOff>30480</xdr:rowOff>
    </xdr:to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624840" y="2727958"/>
          <a:ext cx="2412000" cy="187452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000"/>
            <a:t>ARKUSZ ZOSTAŁ PRZYGOTOWANY TYLKO W CELACH INFORMACYJNYCH. OFICJALNYM ŹRÓDŁEM DANYCH FINANSOWYCH SĄ RAPORTY OKRESOWE CCC S.A.</a:t>
          </a:r>
        </a:p>
        <a:p>
          <a:endParaRPr lang="pl-PL" sz="1000"/>
        </a:p>
        <a:p>
          <a:r>
            <a:rPr lang="en-GB" sz="1000"/>
            <a:t>Dane przygotowane na podstawie Skonsolidowanych Sprawozdań Finansowych Grupy </a:t>
          </a:r>
          <a:r>
            <a:rPr lang="pl-PL" sz="1000"/>
            <a:t>CCC,</a:t>
          </a:r>
          <a:r>
            <a:rPr lang="en-GB" sz="1000"/>
            <a:t> zawartych w raportach okresowych Grupy </a:t>
          </a:r>
          <a:r>
            <a:rPr lang="pl-PL" sz="1000"/>
            <a:t>CCC</a:t>
          </a:r>
          <a:r>
            <a:rPr lang="en-GB" sz="1000"/>
            <a:t>. </a:t>
          </a:r>
        </a:p>
      </xdr:txBody>
    </xdr:sp>
    <xdr:clientData/>
  </xdr:twoCellAnchor>
  <xdr:twoCellAnchor>
    <xdr:from>
      <xdr:col>5</xdr:col>
      <xdr:colOff>594360</xdr:colOff>
      <xdr:row>14</xdr:row>
      <xdr:rowOff>152398</xdr:rowOff>
    </xdr:from>
    <xdr:to>
      <xdr:col>9</xdr:col>
      <xdr:colOff>567960</xdr:colOff>
      <xdr:row>25</xdr:row>
      <xdr:rowOff>30479</xdr:rowOff>
    </xdr:to>
    <xdr:sp macro="" textlink="">
      <xdr:nvSpPr>
        <xdr:cNvPr id="4" name="pole tekstow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3642360" y="2712718"/>
          <a:ext cx="2412000" cy="188976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000" b="1"/>
            <a:t>THIS DOCUMENT HAS BEEN PREPARED FOR INFORMATION PURPOSES ONLY.</a:t>
          </a:r>
          <a:r>
            <a:rPr lang="pl-PL" sz="1000" b="1" baseline="0"/>
            <a:t> </a:t>
          </a:r>
          <a:r>
            <a:rPr lang="pl-PL" sz="1000" b="1"/>
            <a:t>THE OFFICIAL SOURCE OF FINANCIAL DATA ARE FINANCIAL REPORTS OF CCC S.A.</a:t>
          </a:r>
        </a:p>
        <a:p>
          <a:endParaRPr lang="pl-PL" sz="1000" b="1"/>
        </a:p>
        <a:p>
          <a:r>
            <a:rPr lang="en-GB" sz="1000" b="1"/>
            <a:t>The document was prepared based on Consolidated Financial Statements of the </a:t>
          </a:r>
          <a:r>
            <a:rPr lang="pl-PL" sz="1000" b="1"/>
            <a:t>CCC </a:t>
          </a:r>
          <a:r>
            <a:rPr lang="en-GB" sz="1000" b="1"/>
            <a:t>Group which were included in</a:t>
          </a:r>
          <a:r>
            <a:rPr lang="pl-PL" sz="1000" b="1" baseline="0"/>
            <a:t> </a:t>
          </a:r>
          <a:r>
            <a:rPr lang="en-GB" sz="1000" b="1"/>
            <a:t>Financial Reports of </a:t>
          </a:r>
          <a:r>
            <a:rPr lang="pl-PL" sz="1000" b="1"/>
            <a:t>CCC </a:t>
          </a:r>
          <a:r>
            <a:rPr lang="en-GB" sz="1000" b="1"/>
            <a:t>Group. </a:t>
          </a:r>
        </a:p>
      </xdr:txBody>
    </xdr:sp>
    <xdr:clientData/>
  </xdr:twoCellAnchor>
  <xdr:twoCellAnchor editAs="oneCell">
    <xdr:from>
      <xdr:col>9</xdr:col>
      <xdr:colOff>38100</xdr:colOff>
      <xdr:row>0</xdr:row>
      <xdr:rowOff>83908</xdr:rowOff>
    </xdr:from>
    <xdr:to>
      <xdr:col>10</xdr:col>
      <xdr:colOff>510335</xdr:colOff>
      <xdr:row>2</xdr:row>
      <xdr:rowOff>133271</xdr:rowOff>
    </xdr:to>
    <xdr:pic>
      <xdr:nvPicPr>
        <xdr:cNvPr id="7" name="Obraz 6">
          <a:extLst>
            <a:ext uri="{FF2B5EF4-FFF2-40B4-BE49-F238E27FC236}">
              <a16:creationId xmlns:a16="http://schemas.microsoft.com/office/drawing/2014/main" id="{CC005D86-F8A5-4429-ADF3-EF36CF8E4A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24500" y="83908"/>
          <a:ext cx="1081835" cy="4151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customProperty" Target="../customProperty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1"/>
  </sheetPr>
  <dimension ref="A1:AM58"/>
  <sheetViews>
    <sheetView workbookViewId="0">
      <selection activeCell="H4" sqref="H4"/>
    </sheetView>
  </sheetViews>
  <sheetFormatPr defaultRowHeight="14.4"/>
  <sheetData>
    <row r="1" spans="1:32">
      <c r="A1" s="11"/>
      <c r="B1" s="12"/>
      <c r="C1" s="12"/>
      <c r="D1" s="12"/>
      <c r="E1" s="12"/>
      <c r="F1" s="12"/>
      <c r="G1" s="12"/>
      <c r="H1" s="12"/>
      <c r="I1" s="12"/>
      <c r="J1" s="12"/>
      <c r="K1" s="13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</row>
    <row r="2" spans="1:32">
      <c r="A2" s="14"/>
      <c r="B2" s="5"/>
      <c r="C2" s="5"/>
      <c r="D2" s="5"/>
      <c r="E2" s="5"/>
      <c r="F2" s="5"/>
      <c r="G2" s="5"/>
      <c r="H2" s="5"/>
      <c r="I2" s="5"/>
      <c r="J2" s="5"/>
      <c r="K2" s="1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</row>
    <row r="3" spans="1:32">
      <c r="A3" s="14"/>
      <c r="B3" s="5"/>
      <c r="C3" s="5"/>
      <c r="D3" s="5"/>
      <c r="E3" s="5"/>
      <c r="F3" s="5"/>
      <c r="G3" s="5"/>
      <c r="H3" s="5"/>
      <c r="I3" s="5"/>
      <c r="J3" s="5"/>
      <c r="K3" s="1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</row>
    <row r="4" spans="1:32">
      <c r="A4" s="14"/>
      <c r="B4" s="5"/>
      <c r="C4" s="5"/>
      <c r="D4" s="5"/>
      <c r="E4" s="5"/>
      <c r="F4" s="5"/>
      <c r="G4" s="5"/>
      <c r="H4" s="5"/>
      <c r="I4" s="5"/>
      <c r="J4" s="5"/>
      <c r="K4" s="1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</row>
    <row r="5" spans="1:32">
      <c r="A5" s="14"/>
      <c r="B5" s="5"/>
      <c r="C5" s="5"/>
      <c r="D5" s="5"/>
      <c r="E5" s="5"/>
      <c r="F5" s="5"/>
      <c r="G5" s="5"/>
      <c r="H5" s="5"/>
      <c r="I5" s="5"/>
      <c r="J5" s="5"/>
      <c r="K5" s="1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</row>
    <row r="6" spans="1:32">
      <c r="A6" s="14"/>
      <c r="B6" s="5"/>
      <c r="C6" s="5"/>
      <c r="D6" s="5"/>
      <c r="E6" s="5"/>
      <c r="F6" s="5"/>
      <c r="G6" s="5"/>
      <c r="H6" s="5"/>
      <c r="I6" s="5"/>
      <c r="J6" s="5"/>
      <c r="K6" s="1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1:32">
      <c r="A7" s="14"/>
      <c r="B7" s="5"/>
      <c r="C7" s="5"/>
      <c r="D7" s="5"/>
      <c r="E7" s="5"/>
      <c r="F7" s="5"/>
      <c r="G7" s="5"/>
      <c r="H7" s="5"/>
      <c r="I7" s="5"/>
      <c r="J7" s="5"/>
      <c r="K7" s="1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</row>
    <row r="8" spans="1:32">
      <c r="A8" s="14"/>
      <c r="B8" s="5"/>
      <c r="C8" s="5"/>
      <c r="D8" s="5"/>
      <c r="E8" s="5"/>
      <c r="F8" s="5"/>
      <c r="G8" s="5"/>
      <c r="H8" s="5"/>
      <c r="I8" s="5"/>
      <c r="J8" s="5"/>
      <c r="K8" s="1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</row>
    <row r="9" spans="1:32">
      <c r="A9" s="14"/>
      <c r="B9" s="5"/>
      <c r="C9" s="5"/>
      <c r="D9" s="5"/>
      <c r="E9" s="5"/>
      <c r="F9" s="5"/>
      <c r="G9" s="5"/>
      <c r="H9" s="5"/>
      <c r="I9" s="5"/>
      <c r="J9" s="5"/>
      <c r="K9" s="1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</row>
    <row r="10" spans="1:32">
      <c r="A10" s="14"/>
      <c r="B10" s="5"/>
      <c r="C10" s="5"/>
      <c r="D10" s="5"/>
      <c r="E10" s="5"/>
      <c r="F10" s="5"/>
      <c r="G10" s="5"/>
      <c r="H10" s="5"/>
      <c r="I10" s="5"/>
      <c r="J10" s="5"/>
      <c r="K10" s="1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</row>
    <row r="11" spans="1:32">
      <c r="A11" s="14"/>
      <c r="B11" s="5"/>
      <c r="C11" s="5"/>
      <c r="D11" s="5"/>
      <c r="E11" s="5"/>
      <c r="F11" s="5"/>
      <c r="G11" s="5"/>
      <c r="H11" s="5"/>
      <c r="I11" s="5"/>
      <c r="J11" s="5"/>
      <c r="K11" s="1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</row>
    <row r="12" spans="1:32">
      <c r="A12" s="14"/>
      <c r="B12" s="5"/>
      <c r="C12" s="5"/>
      <c r="D12" s="5"/>
      <c r="E12" s="5"/>
      <c r="F12" s="5"/>
      <c r="G12" s="5"/>
      <c r="H12" s="5"/>
      <c r="I12" s="5"/>
      <c r="J12" s="5"/>
      <c r="K12" s="1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</row>
    <row r="13" spans="1:32">
      <c r="A13" s="14"/>
      <c r="B13" s="5"/>
      <c r="C13" s="5"/>
      <c r="D13" s="5"/>
      <c r="E13" s="5"/>
      <c r="F13" s="5"/>
      <c r="G13" s="5"/>
      <c r="H13" s="5"/>
      <c r="I13" s="5"/>
      <c r="J13" s="5"/>
      <c r="K13" s="1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</row>
    <row r="14" spans="1:32">
      <c r="A14" s="14"/>
      <c r="B14" s="5"/>
      <c r="C14" s="5"/>
      <c r="D14" s="5"/>
      <c r="E14" s="5"/>
      <c r="F14" s="5"/>
      <c r="G14" s="5"/>
      <c r="H14" s="5"/>
      <c r="I14" s="5"/>
      <c r="J14" s="5"/>
      <c r="K14" s="1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</row>
    <row r="15" spans="1:32">
      <c r="A15" s="14"/>
      <c r="B15" s="5"/>
      <c r="C15" s="5"/>
      <c r="D15" s="5"/>
      <c r="E15" s="5"/>
      <c r="F15" s="5"/>
      <c r="G15" s="5"/>
      <c r="H15" s="5"/>
      <c r="I15" s="5"/>
      <c r="J15" s="5"/>
      <c r="K15" s="1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</row>
    <row r="16" spans="1:32">
      <c r="A16" s="14"/>
      <c r="B16" s="5"/>
      <c r="C16" s="5"/>
      <c r="D16" s="5"/>
      <c r="E16" s="5"/>
      <c r="F16" s="5"/>
      <c r="G16" s="5"/>
      <c r="H16" s="5"/>
      <c r="I16" s="5"/>
      <c r="J16" s="5"/>
      <c r="K16" s="1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</row>
    <row r="17" spans="1:39">
      <c r="A17" s="14"/>
      <c r="B17" s="5"/>
      <c r="C17" s="5"/>
      <c r="D17" s="5"/>
      <c r="E17" s="5"/>
      <c r="F17" s="5"/>
      <c r="G17" s="5"/>
      <c r="H17" s="5"/>
      <c r="I17" s="5"/>
      <c r="J17" s="5"/>
      <c r="K17" s="1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</row>
    <row r="18" spans="1:39">
      <c r="A18" s="14"/>
      <c r="B18" s="5"/>
      <c r="C18" s="5"/>
      <c r="D18" s="5"/>
      <c r="E18" s="5"/>
      <c r="F18" s="5"/>
      <c r="G18" s="5"/>
      <c r="H18" s="5"/>
      <c r="I18" s="5"/>
      <c r="J18" s="5"/>
      <c r="K18" s="1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</row>
    <row r="19" spans="1:39">
      <c r="A19" s="14"/>
      <c r="B19" s="5"/>
      <c r="C19" s="5"/>
      <c r="D19" s="5"/>
      <c r="E19" s="5"/>
      <c r="F19" s="5"/>
      <c r="G19" s="5"/>
      <c r="H19" s="5"/>
      <c r="I19" s="5"/>
      <c r="J19" s="5"/>
      <c r="K19" s="1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</row>
    <row r="20" spans="1:39">
      <c r="A20" s="14"/>
      <c r="B20" s="5"/>
      <c r="C20" s="5"/>
      <c r="D20" s="5"/>
      <c r="E20" s="5"/>
      <c r="F20" s="5"/>
      <c r="G20" s="5"/>
      <c r="H20" s="5"/>
      <c r="I20" s="5"/>
      <c r="J20" s="5"/>
      <c r="K20" s="1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</row>
    <row r="21" spans="1:39">
      <c r="A21" s="14"/>
      <c r="B21" s="5"/>
      <c r="C21" s="5"/>
      <c r="D21" s="5"/>
      <c r="E21" s="5"/>
      <c r="F21" s="5"/>
      <c r="G21" s="5"/>
      <c r="H21" s="5"/>
      <c r="I21" s="5"/>
      <c r="J21" s="5"/>
      <c r="K21" s="1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</row>
    <row r="22" spans="1:39">
      <c r="A22" s="14"/>
      <c r="B22" s="5"/>
      <c r="C22" s="5"/>
      <c r="D22" s="5"/>
      <c r="E22" s="5"/>
      <c r="F22" s="5"/>
      <c r="G22" s="5"/>
      <c r="H22" s="5"/>
      <c r="I22" s="5"/>
      <c r="J22" s="5"/>
      <c r="K22" s="1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</row>
    <row r="23" spans="1:39">
      <c r="A23" s="14"/>
      <c r="B23" s="5"/>
      <c r="C23" s="5"/>
      <c r="D23" s="5"/>
      <c r="E23" s="5"/>
      <c r="F23" s="5"/>
      <c r="G23" s="5"/>
      <c r="H23" s="5"/>
      <c r="I23" s="5"/>
      <c r="J23" s="5"/>
      <c r="K23" s="1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</row>
    <row r="24" spans="1:39">
      <c r="A24" s="14"/>
      <c r="B24" s="5"/>
      <c r="C24" s="5"/>
      <c r="D24" s="5"/>
      <c r="E24" s="5"/>
      <c r="F24" s="5"/>
      <c r="G24" s="5"/>
      <c r="H24" s="5"/>
      <c r="I24" s="5"/>
      <c r="J24" s="5"/>
      <c r="K24" s="1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</row>
    <row r="25" spans="1:39">
      <c r="A25" s="14"/>
      <c r="B25" s="5"/>
      <c r="C25" s="5"/>
      <c r="D25" s="5"/>
      <c r="E25" s="5"/>
      <c r="F25" s="5"/>
      <c r="G25" s="5"/>
      <c r="H25" s="5"/>
      <c r="I25" s="5"/>
      <c r="J25" s="5"/>
      <c r="K25" s="1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</row>
    <row r="26" spans="1:39" ht="15" thickBot="1">
      <c r="A26" s="16"/>
      <c r="B26" s="17"/>
      <c r="C26" s="17"/>
      <c r="D26" s="17"/>
      <c r="E26" s="17"/>
      <c r="F26" s="17"/>
      <c r="G26" s="17"/>
      <c r="H26" s="17"/>
      <c r="I26" s="17"/>
      <c r="J26" s="17"/>
      <c r="K26" s="18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</row>
    <row r="27" spans="1:39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</row>
    <row r="28" spans="1:39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</row>
    <row r="29" spans="1:39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</row>
    <row r="30" spans="1:39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</row>
    <row r="31" spans="1:39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</row>
    <row r="32" spans="1:39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</row>
    <row r="33" spans="1:39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</row>
    <row r="34" spans="1:39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</row>
    <row r="35" spans="1:39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</row>
    <row r="36" spans="1:39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</row>
    <row r="37" spans="1:39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</row>
    <row r="38" spans="1:39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</row>
    <row r="39" spans="1:39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</row>
    <row r="40" spans="1:39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</row>
    <row r="41" spans="1:39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</row>
    <row r="42" spans="1:39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</row>
    <row r="43" spans="1:39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</row>
    <row r="44" spans="1:39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</row>
    <row r="45" spans="1:39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</row>
    <row r="46" spans="1:39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</row>
    <row r="47" spans="1:39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</row>
    <row r="48" spans="1:39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</row>
    <row r="49" spans="1:39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</row>
    <row r="50" spans="1:39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</row>
    <row r="51" spans="1:39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</row>
    <row r="52" spans="1:39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</row>
    <row r="53" spans="1:39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</row>
    <row r="54" spans="1:39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</row>
    <row r="55" spans="1:39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</row>
    <row r="56" spans="1:39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</row>
    <row r="57" spans="1:39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</row>
    <row r="58" spans="1:39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</row>
  </sheetData>
  <pageMargins left="0.7" right="0.7" top="0.75" bottom="0.75" header="0.3" footer="0.3"/>
  <customProperties>
    <customPr name="_pios_id" r:id="rId1"/>
  </customPropertie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0" tint="-4.9989318521683403E-2"/>
  </sheetPr>
  <dimension ref="A1:AQ85"/>
  <sheetViews>
    <sheetView showGridLines="0" zoomScaleNormal="100" workbookViewId="0">
      <pane xSplit="3" topLeftCell="D1" activePane="topRight" state="frozen"/>
      <selection pane="topRight" activeCell="AE87" sqref="AE87"/>
    </sheetView>
  </sheetViews>
  <sheetFormatPr defaultRowHeight="14.4" outlineLevelRow="3" outlineLevelCol="1"/>
  <cols>
    <col min="1" max="1" width="11.44140625" customWidth="1"/>
    <col min="2" max="2" width="6.88671875" customWidth="1"/>
    <col min="3" max="3" width="37.44140625" bestFit="1" customWidth="1"/>
    <col min="4" max="4" width="38.5546875" bestFit="1" customWidth="1"/>
    <col min="5" max="7" width="17.109375" hidden="1" customWidth="1" outlineLevel="1"/>
    <col min="8" max="8" width="17.109375" customWidth="1" collapsed="1"/>
    <col min="9" max="9" width="5.44140625" customWidth="1"/>
    <col min="10" max="12" width="17.109375" hidden="1" customWidth="1" outlineLevel="1"/>
    <col min="13" max="13" width="17.109375" customWidth="1" collapsed="1"/>
    <col min="14" max="14" width="5.44140625" customWidth="1"/>
    <col min="15" max="17" width="17.109375" hidden="1" customWidth="1" outlineLevel="1"/>
    <col min="18" max="18" width="17.109375" customWidth="1" collapsed="1"/>
    <col min="20" max="22" width="12.44140625" hidden="1" customWidth="1" outlineLevel="1"/>
    <col min="23" max="23" width="12.44140625" customWidth="1" collapsed="1"/>
    <col min="25" max="25" width="11.88671875" hidden="1" customWidth="1" outlineLevel="1"/>
    <col min="26" max="26" width="12.33203125" hidden="1" customWidth="1" outlineLevel="1"/>
    <col min="27" max="27" width="12" hidden="1" customWidth="1" outlineLevel="1"/>
    <col min="28" max="28" width="12" bestFit="1" customWidth="1" collapsed="1"/>
    <col min="30" max="32" width="12.33203125" customWidth="1" outlineLevel="1"/>
    <col min="33" max="33" width="12.33203125" bestFit="1" customWidth="1"/>
    <col min="35" max="37" width="14.33203125" hidden="1" customWidth="1" outlineLevel="1"/>
    <col min="38" max="38" width="12.44140625" bestFit="1" customWidth="1" collapsed="1"/>
    <col min="40" max="42" width="11.44140625" bestFit="1" customWidth="1"/>
    <col min="43" max="43" width="10.109375" bestFit="1" customWidth="1"/>
  </cols>
  <sheetData>
    <row r="1" spans="1:43" ht="15.6">
      <c r="E1" s="58"/>
      <c r="F1" s="58"/>
      <c r="G1" s="58"/>
      <c r="H1" s="59">
        <v>2018</v>
      </c>
      <c r="J1" s="58"/>
      <c r="K1" s="58"/>
      <c r="L1" s="58"/>
      <c r="M1" s="59">
        <v>2019</v>
      </c>
      <c r="N1" s="5"/>
      <c r="O1" s="58"/>
      <c r="P1" s="58"/>
      <c r="Q1" s="58"/>
      <c r="R1" s="59">
        <v>2020</v>
      </c>
      <c r="S1" s="5"/>
      <c r="T1" s="58"/>
      <c r="U1" s="58"/>
      <c r="V1" s="58"/>
      <c r="W1" s="59" t="s">
        <v>0</v>
      </c>
      <c r="X1" s="5"/>
      <c r="Y1" s="608">
        <v>2021</v>
      </c>
      <c r="Z1" s="608"/>
      <c r="AA1" s="608"/>
      <c r="AB1" s="608"/>
      <c r="AC1" s="5"/>
      <c r="AD1" s="608">
        <v>2022</v>
      </c>
      <c r="AE1" s="608"/>
      <c r="AF1" s="608"/>
      <c r="AG1" s="608"/>
      <c r="AI1" s="608">
        <v>2023</v>
      </c>
      <c r="AJ1" s="608"/>
      <c r="AK1" s="608"/>
      <c r="AL1" s="608"/>
      <c r="AN1" s="608">
        <v>2024</v>
      </c>
      <c r="AO1" s="608"/>
      <c r="AP1" s="608"/>
      <c r="AQ1" s="608"/>
    </row>
    <row r="2" spans="1:43" ht="15.6" customHeight="1" thickBot="1">
      <c r="C2" s="130" t="s">
        <v>1</v>
      </c>
      <c r="D2" s="130" t="s">
        <v>2</v>
      </c>
      <c r="E2" s="131">
        <v>43190</v>
      </c>
      <c r="F2" s="132" t="s">
        <v>3</v>
      </c>
      <c r="G2" s="132" t="s">
        <v>4</v>
      </c>
      <c r="H2" s="132" t="s">
        <v>5</v>
      </c>
      <c r="I2" s="132"/>
      <c r="J2" s="131" t="s">
        <v>6</v>
      </c>
      <c r="K2" s="131">
        <v>43646</v>
      </c>
      <c r="L2" s="131">
        <v>43738</v>
      </c>
      <c r="M2" s="131">
        <v>43830</v>
      </c>
      <c r="N2" s="137"/>
      <c r="O2" s="131">
        <v>43921</v>
      </c>
      <c r="P2" s="131">
        <v>44012</v>
      </c>
      <c r="Q2" s="131">
        <v>44104</v>
      </c>
      <c r="R2" s="131">
        <v>44196</v>
      </c>
      <c r="S2" s="137"/>
      <c r="T2" s="133">
        <v>43951</v>
      </c>
      <c r="U2" s="134">
        <v>44043</v>
      </c>
      <c r="V2" s="135">
        <v>44135</v>
      </c>
      <c r="W2" s="136">
        <v>44227</v>
      </c>
      <c r="X2" s="137"/>
      <c r="Y2" s="133">
        <v>44316</v>
      </c>
      <c r="Z2" s="134">
        <v>44408</v>
      </c>
      <c r="AA2" s="135">
        <v>44500</v>
      </c>
      <c r="AB2" s="136">
        <v>44592</v>
      </c>
      <c r="AC2" s="137"/>
      <c r="AD2" s="133">
        <v>44681</v>
      </c>
      <c r="AE2" s="134">
        <v>44773</v>
      </c>
      <c r="AF2" s="135">
        <v>44865</v>
      </c>
      <c r="AG2" s="136">
        <v>44957</v>
      </c>
      <c r="AI2" s="133">
        <v>45046</v>
      </c>
      <c r="AJ2" s="134">
        <v>45138</v>
      </c>
      <c r="AK2" s="135">
        <v>45230</v>
      </c>
      <c r="AL2" s="136">
        <v>45322</v>
      </c>
      <c r="AN2" s="64">
        <v>45412</v>
      </c>
      <c r="AO2" s="28">
        <v>45504</v>
      </c>
      <c r="AP2" s="68">
        <v>45596</v>
      </c>
      <c r="AQ2" s="29">
        <v>45688</v>
      </c>
    </row>
    <row r="3" spans="1:43" ht="22.35" customHeight="1" outlineLevel="2" thickTop="1">
      <c r="A3" s="603" t="s">
        <v>271</v>
      </c>
      <c r="B3" s="601" t="s">
        <v>7</v>
      </c>
      <c r="C3" s="559" t="s">
        <v>8</v>
      </c>
      <c r="D3" s="44" t="s">
        <v>9</v>
      </c>
      <c r="E3" s="411">
        <v>450</v>
      </c>
      <c r="F3" s="411">
        <v>462</v>
      </c>
      <c r="G3" s="411">
        <v>465</v>
      </c>
      <c r="H3" s="411">
        <v>466</v>
      </c>
      <c r="I3" s="412"/>
      <c r="J3" s="413">
        <v>467</v>
      </c>
      <c r="K3" s="411">
        <v>472</v>
      </c>
      <c r="L3" s="414">
        <v>472</v>
      </c>
      <c r="M3" s="415">
        <v>473</v>
      </c>
      <c r="N3" s="412"/>
      <c r="O3" s="413">
        <v>470</v>
      </c>
      <c r="P3" s="411">
        <v>469</v>
      </c>
      <c r="Q3" s="414">
        <v>472</v>
      </c>
      <c r="R3" s="415">
        <v>470</v>
      </c>
      <c r="S3" s="5"/>
      <c r="T3" s="415">
        <v>469</v>
      </c>
      <c r="U3" s="415">
        <v>470</v>
      </c>
      <c r="V3" s="415">
        <v>470</v>
      </c>
      <c r="W3" s="415">
        <v>462</v>
      </c>
      <c r="X3" s="5"/>
      <c r="Y3" s="415">
        <v>455</v>
      </c>
      <c r="Z3" s="415">
        <v>450</v>
      </c>
      <c r="AA3" s="415">
        <v>446</v>
      </c>
      <c r="AB3" s="415">
        <v>432</v>
      </c>
      <c r="AC3" s="5"/>
      <c r="AD3" s="415">
        <v>438</v>
      </c>
      <c r="AE3" s="415">
        <v>442</v>
      </c>
      <c r="AF3" s="493">
        <v>446</v>
      </c>
      <c r="AG3" s="415">
        <v>444</v>
      </c>
      <c r="AI3" s="415">
        <v>444</v>
      </c>
      <c r="AJ3" s="415">
        <v>445</v>
      </c>
      <c r="AK3" s="493">
        <v>443</v>
      </c>
      <c r="AL3" s="415">
        <v>442</v>
      </c>
      <c r="AN3" s="415">
        <v>450</v>
      </c>
      <c r="AO3" s="415">
        <v>452</v>
      </c>
      <c r="AP3" s="493">
        <v>461</v>
      </c>
      <c r="AQ3" s="415"/>
    </row>
    <row r="4" spans="1:43" ht="22.35" customHeight="1" outlineLevel="2">
      <c r="A4" s="603"/>
      <c r="B4" s="604"/>
      <c r="C4" s="42" t="s">
        <v>10</v>
      </c>
      <c r="D4" s="41" t="s">
        <v>11</v>
      </c>
      <c r="E4" s="411">
        <v>87</v>
      </c>
      <c r="F4" s="411">
        <v>87</v>
      </c>
      <c r="G4" s="411">
        <v>88</v>
      </c>
      <c r="H4" s="411">
        <v>93</v>
      </c>
      <c r="I4" s="416"/>
      <c r="J4" s="413">
        <v>93</v>
      </c>
      <c r="K4" s="411">
        <v>93</v>
      </c>
      <c r="L4" s="414">
        <v>93</v>
      </c>
      <c r="M4" s="415">
        <v>96</v>
      </c>
      <c r="N4" s="416"/>
      <c r="O4" s="413">
        <v>93</v>
      </c>
      <c r="P4" s="411">
        <v>91</v>
      </c>
      <c r="Q4" s="414">
        <v>90</v>
      </c>
      <c r="R4" s="415">
        <v>91</v>
      </c>
      <c r="T4" s="415">
        <v>93</v>
      </c>
      <c r="U4" s="415">
        <v>90</v>
      </c>
      <c r="V4" s="415">
        <v>91</v>
      </c>
      <c r="W4" s="415">
        <v>90</v>
      </c>
      <c r="Y4" s="415">
        <v>89</v>
      </c>
      <c r="Z4" s="415">
        <v>87</v>
      </c>
      <c r="AA4" s="415">
        <v>86</v>
      </c>
      <c r="AB4" s="415">
        <v>86</v>
      </c>
      <c r="AD4" s="415">
        <v>86</v>
      </c>
      <c r="AE4" s="415">
        <v>85</v>
      </c>
      <c r="AF4" s="493">
        <v>85</v>
      </c>
      <c r="AG4" s="415">
        <v>82</v>
      </c>
      <c r="AI4" s="415">
        <v>82</v>
      </c>
      <c r="AJ4" s="415">
        <v>79</v>
      </c>
      <c r="AK4" s="493">
        <v>79</v>
      </c>
      <c r="AL4" s="415">
        <v>77</v>
      </c>
      <c r="AN4" s="415">
        <v>74</v>
      </c>
      <c r="AO4" s="415">
        <v>74</v>
      </c>
      <c r="AP4" s="493">
        <v>72</v>
      </c>
      <c r="AQ4" s="415"/>
    </row>
    <row r="5" spans="1:43" ht="22.35" customHeight="1" outlineLevel="2">
      <c r="A5" s="603"/>
      <c r="B5" s="604"/>
      <c r="C5" s="42" t="s">
        <v>12</v>
      </c>
      <c r="D5" s="41" t="s">
        <v>13</v>
      </c>
      <c r="E5" s="411">
        <v>73</v>
      </c>
      <c r="F5" s="411">
        <v>74</v>
      </c>
      <c r="G5" s="411">
        <v>76</v>
      </c>
      <c r="H5" s="411">
        <v>76</v>
      </c>
      <c r="I5" s="417"/>
      <c r="J5" s="413">
        <v>76</v>
      </c>
      <c r="K5" s="411">
        <v>75</v>
      </c>
      <c r="L5" s="414">
        <v>75</v>
      </c>
      <c r="M5" s="415">
        <v>80</v>
      </c>
      <c r="N5" s="417"/>
      <c r="O5" s="413">
        <v>79</v>
      </c>
      <c r="P5" s="411">
        <v>78</v>
      </c>
      <c r="Q5" s="414">
        <v>78</v>
      </c>
      <c r="R5" s="415">
        <v>80</v>
      </c>
      <c r="T5" s="415">
        <v>79</v>
      </c>
      <c r="U5" s="415">
        <v>78</v>
      </c>
      <c r="V5" s="415">
        <v>80</v>
      </c>
      <c r="W5" s="415">
        <v>79</v>
      </c>
      <c r="Y5" s="415">
        <v>79</v>
      </c>
      <c r="Z5" s="415">
        <v>78</v>
      </c>
      <c r="AA5" s="415">
        <v>79</v>
      </c>
      <c r="AB5" s="415">
        <v>79</v>
      </c>
      <c r="AD5" s="415">
        <v>79</v>
      </c>
      <c r="AE5" s="415">
        <v>76</v>
      </c>
      <c r="AF5" s="493">
        <v>77</v>
      </c>
      <c r="AG5" s="415">
        <v>77</v>
      </c>
      <c r="AI5" s="415">
        <v>78</v>
      </c>
      <c r="AJ5" s="415">
        <v>73</v>
      </c>
      <c r="AK5" s="493">
        <v>68</v>
      </c>
      <c r="AL5" s="415">
        <v>65</v>
      </c>
      <c r="AN5" s="415">
        <v>63</v>
      </c>
      <c r="AO5" s="415">
        <v>63</v>
      </c>
      <c r="AP5" s="493">
        <v>63</v>
      </c>
      <c r="AQ5" s="415"/>
    </row>
    <row r="6" spans="1:43" ht="22.35" customHeight="1" outlineLevel="2">
      <c r="A6" s="603"/>
      <c r="B6" s="604"/>
      <c r="C6" s="42" t="s">
        <v>14</v>
      </c>
      <c r="D6" s="41" t="s">
        <v>14</v>
      </c>
      <c r="E6" s="411">
        <v>46</v>
      </c>
      <c r="F6" s="411">
        <v>46</v>
      </c>
      <c r="G6" s="411">
        <v>49</v>
      </c>
      <c r="H6" s="411">
        <v>49</v>
      </c>
      <c r="I6" s="412"/>
      <c r="J6" s="413">
        <v>48</v>
      </c>
      <c r="K6" s="411">
        <v>48</v>
      </c>
      <c r="L6" s="414">
        <v>49</v>
      </c>
      <c r="M6" s="415">
        <v>50</v>
      </c>
      <c r="N6" s="412"/>
      <c r="O6" s="413">
        <v>49</v>
      </c>
      <c r="P6" s="411">
        <v>49</v>
      </c>
      <c r="Q6" s="414">
        <v>52</v>
      </c>
      <c r="R6" s="415">
        <v>51</v>
      </c>
      <c r="T6" s="415">
        <v>49</v>
      </c>
      <c r="U6" s="415">
        <v>48</v>
      </c>
      <c r="V6" s="415">
        <v>56</v>
      </c>
      <c r="W6" s="415">
        <v>51</v>
      </c>
      <c r="Y6" s="415">
        <v>47</v>
      </c>
      <c r="Z6" s="415">
        <v>31</v>
      </c>
      <c r="AA6" s="415">
        <v>9</v>
      </c>
      <c r="AB6" s="415" t="s">
        <v>28</v>
      </c>
      <c r="AD6" s="415" t="s">
        <v>28</v>
      </c>
      <c r="AE6" s="468" t="s">
        <v>28</v>
      </c>
      <c r="AF6" s="493">
        <v>0</v>
      </c>
      <c r="AG6" s="415">
        <v>0</v>
      </c>
      <c r="AI6" s="415">
        <v>0</v>
      </c>
      <c r="AJ6" s="468">
        <v>0</v>
      </c>
      <c r="AK6" s="493">
        <v>0</v>
      </c>
      <c r="AL6" s="434">
        <v>0</v>
      </c>
      <c r="AN6" s="415">
        <v>0</v>
      </c>
      <c r="AO6" s="468">
        <v>0</v>
      </c>
      <c r="AP6" s="493">
        <v>0</v>
      </c>
      <c r="AQ6" s="434"/>
    </row>
    <row r="7" spans="1:43" ht="22.35" customHeight="1" outlineLevel="2">
      <c r="A7" s="603"/>
      <c r="B7" s="604"/>
      <c r="C7" s="42" t="s">
        <v>15</v>
      </c>
      <c r="D7" s="41" t="s">
        <v>16</v>
      </c>
      <c r="E7" s="411">
        <v>51</v>
      </c>
      <c r="F7" s="411">
        <v>50</v>
      </c>
      <c r="G7" s="411">
        <v>51</v>
      </c>
      <c r="H7" s="411">
        <v>51</v>
      </c>
      <c r="I7" s="412"/>
      <c r="J7" s="413">
        <v>52</v>
      </c>
      <c r="K7" s="411">
        <v>53</v>
      </c>
      <c r="L7" s="414">
        <v>53</v>
      </c>
      <c r="M7" s="415">
        <v>53</v>
      </c>
      <c r="N7" s="412"/>
      <c r="O7" s="413">
        <v>52</v>
      </c>
      <c r="P7" s="411">
        <v>53</v>
      </c>
      <c r="Q7" s="414">
        <v>53</v>
      </c>
      <c r="R7" s="415">
        <v>55</v>
      </c>
      <c r="T7" s="415">
        <v>52</v>
      </c>
      <c r="U7" s="415">
        <v>53</v>
      </c>
      <c r="V7" s="415">
        <v>55</v>
      </c>
      <c r="W7" s="415">
        <v>56</v>
      </c>
      <c r="Y7" s="415">
        <v>57</v>
      </c>
      <c r="Z7" s="415">
        <v>55</v>
      </c>
      <c r="AA7" s="415">
        <v>55</v>
      </c>
      <c r="AB7" s="415">
        <v>53</v>
      </c>
      <c r="AD7" s="415">
        <v>52</v>
      </c>
      <c r="AE7" s="415">
        <v>52</v>
      </c>
      <c r="AF7" s="493">
        <v>51</v>
      </c>
      <c r="AG7" s="415">
        <v>50</v>
      </c>
      <c r="AI7" s="415">
        <v>49</v>
      </c>
      <c r="AJ7" s="415">
        <v>47</v>
      </c>
      <c r="AK7" s="493">
        <v>47</v>
      </c>
      <c r="AL7" s="415">
        <v>46</v>
      </c>
      <c r="AN7" s="415">
        <v>46</v>
      </c>
      <c r="AO7" s="415">
        <v>46</v>
      </c>
      <c r="AP7" s="493">
        <v>46</v>
      </c>
      <c r="AQ7" s="415"/>
    </row>
    <row r="8" spans="1:43" ht="22.35" customHeight="1" outlineLevel="2">
      <c r="A8" s="603"/>
      <c r="B8" s="604"/>
      <c r="C8" s="42" t="s">
        <v>17</v>
      </c>
      <c r="D8" s="41" t="s">
        <v>18</v>
      </c>
      <c r="E8" s="411">
        <v>24</v>
      </c>
      <c r="F8" s="411">
        <v>24</v>
      </c>
      <c r="G8" s="411">
        <v>24</v>
      </c>
      <c r="H8" s="411">
        <v>25</v>
      </c>
      <c r="I8" s="416"/>
      <c r="J8" s="413">
        <v>25</v>
      </c>
      <c r="K8" s="411">
        <v>27</v>
      </c>
      <c r="L8" s="414">
        <v>28</v>
      </c>
      <c r="M8" s="415">
        <v>29</v>
      </c>
      <c r="N8" s="416"/>
      <c r="O8" s="413">
        <v>29</v>
      </c>
      <c r="P8" s="411">
        <v>30</v>
      </c>
      <c r="Q8" s="414">
        <v>32</v>
      </c>
      <c r="R8" s="415">
        <v>31</v>
      </c>
      <c r="T8" s="415">
        <v>29</v>
      </c>
      <c r="U8" s="415">
        <v>30</v>
      </c>
      <c r="V8" s="415">
        <v>32</v>
      </c>
      <c r="W8" s="415">
        <v>31</v>
      </c>
      <c r="Y8" s="415">
        <v>29</v>
      </c>
      <c r="Z8" s="415">
        <v>29</v>
      </c>
      <c r="AA8" s="415">
        <v>30</v>
      </c>
      <c r="AB8" s="415">
        <v>29</v>
      </c>
      <c r="AD8" s="415">
        <v>29</v>
      </c>
      <c r="AE8" s="415">
        <v>29</v>
      </c>
      <c r="AF8" s="493">
        <v>28</v>
      </c>
      <c r="AG8" s="415">
        <v>28</v>
      </c>
      <c r="AI8" s="415">
        <v>28</v>
      </c>
      <c r="AJ8" s="415">
        <v>26</v>
      </c>
      <c r="AK8" s="493">
        <v>25</v>
      </c>
      <c r="AL8" s="415">
        <f>24</f>
        <v>24</v>
      </c>
      <c r="AN8" s="415">
        <v>24</v>
      </c>
      <c r="AO8" s="415">
        <v>24</v>
      </c>
      <c r="AP8" s="493">
        <v>24</v>
      </c>
      <c r="AQ8" s="415"/>
    </row>
    <row r="9" spans="1:43" ht="22.35" customHeight="1" outlineLevel="2">
      <c r="A9" s="603"/>
      <c r="B9" s="604"/>
      <c r="C9" s="42" t="s">
        <v>19</v>
      </c>
      <c r="D9" s="41" t="s">
        <v>20</v>
      </c>
      <c r="E9" s="411">
        <v>22</v>
      </c>
      <c r="F9" s="411">
        <v>24</v>
      </c>
      <c r="G9" s="411">
        <v>27</v>
      </c>
      <c r="H9" s="411">
        <v>35</v>
      </c>
      <c r="I9" s="412"/>
      <c r="J9" s="413">
        <v>37</v>
      </c>
      <c r="K9" s="411">
        <v>38</v>
      </c>
      <c r="L9" s="414">
        <v>39</v>
      </c>
      <c r="M9" s="415">
        <v>41</v>
      </c>
      <c r="N9" s="412"/>
      <c r="O9" s="413">
        <v>42</v>
      </c>
      <c r="P9" s="411">
        <v>42</v>
      </c>
      <c r="Q9" s="414">
        <v>41</v>
      </c>
      <c r="R9" s="415">
        <v>44</v>
      </c>
      <c r="T9" s="415">
        <v>42</v>
      </c>
      <c r="U9" s="415">
        <v>41</v>
      </c>
      <c r="V9" s="415">
        <v>41</v>
      </c>
      <c r="W9" s="415">
        <v>41</v>
      </c>
      <c r="Y9" s="415">
        <v>41</v>
      </c>
      <c r="Z9" s="415">
        <v>40</v>
      </c>
      <c r="AA9" s="415">
        <v>40</v>
      </c>
      <c r="AB9" s="415">
        <v>42</v>
      </c>
      <c r="AD9" s="415" t="s">
        <v>28</v>
      </c>
      <c r="AE9" s="468" t="s">
        <v>28</v>
      </c>
      <c r="AF9" s="493" t="s">
        <v>28</v>
      </c>
      <c r="AG9" s="415">
        <v>0</v>
      </c>
      <c r="AI9" s="415">
        <v>0</v>
      </c>
      <c r="AJ9" s="468">
        <v>0</v>
      </c>
      <c r="AK9" s="493">
        <v>0</v>
      </c>
      <c r="AL9" s="434">
        <v>0</v>
      </c>
      <c r="AN9" s="415">
        <v>0</v>
      </c>
      <c r="AO9" s="468">
        <v>0</v>
      </c>
      <c r="AP9" s="493">
        <v>0</v>
      </c>
      <c r="AQ9" s="434"/>
    </row>
    <row r="10" spans="1:43" ht="22.35" customHeight="1" outlineLevel="2">
      <c r="A10" s="603"/>
      <c r="B10" s="604"/>
      <c r="C10" s="42" t="s">
        <v>21</v>
      </c>
      <c r="D10" s="41" t="s">
        <v>22</v>
      </c>
      <c r="E10" s="411">
        <v>13</v>
      </c>
      <c r="F10" s="411">
        <v>13</v>
      </c>
      <c r="G10" s="411">
        <v>14</v>
      </c>
      <c r="H10" s="411">
        <v>14</v>
      </c>
      <c r="I10" s="417"/>
      <c r="J10" s="413">
        <v>14</v>
      </c>
      <c r="K10" s="411">
        <v>15</v>
      </c>
      <c r="L10" s="414">
        <v>15</v>
      </c>
      <c r="M10" s="415">
        <v>18</v>
      </c>
      <c r="N10" s="417"/>
      <c r="O10" s="413">
        <v>18</v>
      </c>
      <c r="P10" s="411">
        <v>18</v>
      </c>
      <c r="Q10" s="414">
        <v>19</v>
      </c>
      <c r="R10" s="415">
        <v>20</v>
      </c>
      <c r="T10" s="415">
        <v>18</v>
      </c>
      <c r="U10" s="415">
        <v>18</v>
      </c>
      <c r="V10" s="415">
        <v>20</v>
      </c>
      <c r="W10" s="415">
        <v>20</v>
      </c>
      <c r="Y10" s="415">
        <v>18</v>
      </c>
      <c r="Z10" s="415">
        <v>18</v>
      </c>
      <c r="AA10" s="415">
        <v>17</v>
      </c>
      <c r="AB10" s="415">
        <v>17</v>
      </c>
      <c r="AD10" s="415">
        <v>17</v>
      </c>
      <c r="AE10" s="415">
        <v>17</v>
      </c>
      <c r="AF10" s="493">
        <v>17</v>
      </c>
      <c r="AG10" s="415">
        <v>17</v>
      </c>
      <c r="AI10" s="415">
        <v>16</v>
      </c>
      <c r="AJ10" s="415">
        <v>16</v>
      </c>
      <c r="AK10" s="493">
        <v>15</v>
      </c>
      <c r="AL10" s="415">
        <v>14</v>
      </c>
      <c r="AN10" s="415">
        <v>14</v>
      </c>
      <c r="AO10" s="415">
        <v>14</v>
      </c>
      <c r="AP10" s="493">
        <v>14</v>
      </c>
      <c r="AQ10" s="415"/>
    </row>
    <row r="11" spans="1:43" ht="22.35" customHeight="1" outlineLevel="2">
      <c r="A11" s="603"/>
      <c r="B11" s="604"/>
      <c r="C11" s="42" t="s">
        <v>23</v>
      </c>
      <c r="D11" s="41" t="s">
        <v>24</v>
      </c>
      <c r="E11" s="411">
        <v>10</v>
      </c>
      <c r="F11" s="411">
        <v>10</v>
      </c>
      <c r="G11" s="411">
        <v>10</v>
      </c>
      <c r="H11" s="411">
        <v>11</v>
      </c>
      <c r="I11" s="412"/>
      <c r="J11" s="413">
        <v>12</v>
      </c>
      <c r="K11" s="411">
        <v>14</v>
      </c>
      <c r="L11" s="414">
        <v>15</v>
      </c>
      <c r="M11" s="415">
        <v>17</v>
      </c>
      <c r="N11" s="412"/>
      <c r="O11" s="413">
        <v>17</v>
      </c>
      <c r="P11" s="411">
        <v>17</v>
      </c>
      <c r="Q11" s="414">
        <v>17</v>
      </c>
      <c r="R11" s="415">
        <v>18</v>
      </c>
      <c r="T11" s="415">
        <v>17</v>
      </c>
      <c r="U11" s="415">
        <v>17</v>
      </c>
      <c r="V11" s="415">
        <v>17</v>
      </c>
      <c r="W11" s="415">
        <v>18</v>
      </c>
      <c r="Y11" s="415">
        <v>17</v>
      </c>
      <c r="Z11" s="415">
        <v>17</v>
      </c>
      <c r="AA11" s="415">
        <v>17</v>
      </c>
      <c r="AB11" s="415">
        <v>17</v>
      </c>
      <c r="AD11" s="415">
        <v>17</v>
      </c>
      <c r="AE11" s="415">
        <v>17</v>
      </c>
      <c r="AF11" s="493">
        <v>18</v>
      </c>
      <c r="AG11" s="415">
        <v>20</v>
      </c>
      <c r="AI11" s="415">
        <v>20</v>
      </c>
      <c r="AJ11" s="415">
        <v>20</v>
      </c>
      <c r="AK11" s="493">
        <v>21</v>
      </c>
      <c r="AL11" s="415">
        <v>21</v>
      </c>
      <c r="AN11" s="415">
        <v>19</v>
      </c>
      <c r="AO11" s="415">
        <v>19</v>
      </c>
      <c r="AP11" s="493">
        <v>19</v>
      </c>
      <c r="AQ11" s="415"/>
    </row>
    <row r="12" spans="1:43" ht="22.35" customHeight="1" outlineLevel="2">
      <c r="A12" s="603"/>
      <c r="B12" s="604"/>
      <c r="C12" s="42" t="s">
        <v>25</v>
      </c>
      <c r="D12" s="41" t="s">
        <v>25</v>
      </c>
      <c r="E12" s="411">
        <v>6</v>
      </c>
      <c r="F12" s="411">
        <v>9</v>
      </c>
      <c r="G12" s="411">
        <v>10</v>
      </c>
      <c r="H12" s="411">
        <v>11</v>
      </c>
      <c r="I12" s="412"/>
      <c r="J12" s="413">
        <v>11</v>
      </c>
      <c r="K12" s="411">
        <v>12</v>
      </c>
      <c r="L12" s="414">
        <v>14</v>
      </c>
      <c r="M12" s="415">
        <v>14</v>
      </c>
      <c r="N12" s="412"/>
      <c r="O12" s="413">
        <v>14</v>
      </c>
      <c r="P12" s="411">
        <v>14</v>
      </c>
      <c r="Q12" s="414">
        <v>14</v>
      </c>
      <c r="R12" s="415">
        <v>15</v>
      </c>
      <c r="T12" s="415">
        <v>14</v>
      </c>
      <c r="U12" s="415">
        <v>14</v>
      </c>
      <c r="V12" s="415">
        <v>15</v>
      </c>
      <c r="W12" s="415">
        <v>14</v>
      </c>
      <c r="Y12" s="415">
        <v>14</v>
      </c>
      <c r="Z12" s="415">
        <v>14</v>
      </c>
      <c r="AA12" s="415">
        <v>14</v>
      </c>
      <c r="AB12" s="415">
        <v>14</v>
      </c>
      <c r="AD12" s="415">
        <v>14</v>
      </c>
      <c r="AE12" s="415">
        <v>14</v>
      </c>
      <c r="AF12" s="493">
        <v>14</v>
      </c>
      <c r="AG12" s="415">
        <v>14</v>
      </c>
      <c r="AI12" s="415">
        <v>13</v>
      </c>
      <c r="AJ12" s="415">
        <v>11</v>
      </c>
      <c r="AK12" s="493">
        <v>9</v>
      </c>
      <c r="AL12" s="415">
        <v>8</v>
      </c>
      <c r="AN12" s="415">
        <v>8</v>
      </c>
      <c r="AO12" s="415">
        <v>8</v>
      </c>
      <c r="AP12" s="493">
        <v>8</v>
      </c>
      <c r="AQ12" s="415"/>
    </row>
    <row r="13" spans="1:43" ht="22.35" customHeight="1" outlineLevel="2">
      <c r="A13" s="603"/>
      <c r="B13" s="604"/>
      <c r="C13" s="42" t="s">
        <v>26</v>
      </c>
      <c r="D13" s="41" t="s">
        <v>27</v>
      </c>
      <c r="E13" s="411" t="s">
        <v>28</v>
      </c>
      <c r="F13" s="411">
        <v>55</v>
      </c>
      <c r="G13" s="411">
        <v>57</v>
      </c>
      <c r="H13" s="411">
        <v>62</v>
      </c>
      <c r="I13" s="412"/>
      <c r="J13" s="413">
        <v>63</v>
      </c>
      <c r="K13" s="411">
        <v>64</v>
      </c>
      <c r="L13" s="414">
        <v>65</v>
      </c>
      <c r="M13" s="415">
        <v>71</v>
      </c>
      <c r="N13" s="412"/>
      <c r="O13" s="413">
        <v>71</v>
      </c>
      <c r="P13" s="411">
        <v>72</v>
      </c>
      <c r="Q13" s="414">
        <v>77</v>
      </c>
      <c r="R13" s="415">
        <v>79</v>
      </c>
      <c r="T13" s="415">
        <v>71</v>
      </c>
      <c r="U13" s="415">
        <v>73</v>
      </c>
      <c r="V13" s="415">
        <v>78</v>
      </c>
      <c r="W13" s="415">
        <v>78</v>
      </c>
      <c r="Y13" s="415">
        <v>77</v>
      </c>
      <c r="Z13" s="415">
        <v>77</v>
      </c>
      <c r="AA13" s="415">
        <v>78</v>
      </c>
      <c r="AB13" s="415">
        <v>80</v>
      </c>
      <c r="AD13" s="415">
        <v>79</v>
      </c>
      <c r="AE13" s="415">
        <v>76</v>
      </c>
      <c r="AF13" s="493">
        <v>77</v>
      </c>
      <c r="AG13" s="415">
        <v>76</v>
      </c>
      <c r="AI13" s="415">
        <v>76</v>
      </c>
      <c r="AJ13" s="415">
        <v>73</v>
      </c>
      <c r="AK13" s="493">
        <f>74</f>
        <v>74</v>
      </c>
      <c r="AL13" s="415">
        <v>73</v>
      </c>
      <c r="AN13" s="415">
        <v>73</v>
      </c>
      <c r="AO13" s="415">
        <v>71</v>
      </c>
      <c r="AP13" s="493">
        <v>73</v>
      </c>
      <c r="AQ13" s="415"/>
    </row>
    <row r="14" spans="1:43" ht="22.35" customHeight="1" outlineLevel="2">
      <c r="A14" s="603"/>
      <c r="B14" s="604"/>
      <c r="C14" s="42" t="s">
        <v>31</v>
      </c>
      <c r="D14" s="41" t="s">
        <v>336</v>
      </c>
      <c r="E14" s="411"/>
      <c r="F14" s="411"/>
      <c r="G14" s="411"/>
      <c r="H14" s="411"/>
      <c r="I14" s="412"/>
      <c r="J14" s="413"/>
      <c r="K14" s="411"/>
      <c r="L14" s="414"/>
      <c r="M14" s="415"/>
      <c r="N14" s="412"/>
      <c r="O14" s="413"/>
      <c r="P14" s="411"/>
      <c r="Q14" s="414"/>
      <c r="R14" s="415"/>
      <c r="T14" s="415"/>
      <c r="U14" s="415"/>
      <c r="V14" s="415"/>
      <c r="W14" s="415"/>
      <c r="Y14" s="415"/>
      <c r="Z14" s="415"/>
      <c r="AA14" s="415"/>
      <c r="AB14" s="415"/>
      <c r="AD14" s="468" t="s">
        <v>28</v>
      </c>
      <c r="AE14" s="415">
        <v>6</v>
      </c>
      <c r="AF14" s="493">
        <v>6</v>
      </c>
      <c r="AG14" s="415">
        <v>6</v>
      </c>
      <c r="AI14" s="468">
        <v>6</v>
      </c>
      <c r="AJ14" s="415">
        <v>6</v>
      </c>
      <c r="AK14" s="493">
        <v>6</v>
      </c>
      <c r="AL14" s="415">
        <v>6</v>
      </c>
      <c r="AN14" s="468">
        <v>6</v>
      </c>
      <c r="AO14" s="415">
        <v>5</v>
      </c>
      <c r="AP14" s="493">
        <v>5</v>
      </c>
      <c r="AQ14" s="415"/>
    </row>
    <row r="15" spans="1:43" ht="22.35" customHeight="1" outlineLevel="2">
      <c r="A15" s="603"/>
      <c r="B15" s="604"/>
      <c r="C15" s="42" t="s">
        <v>33</v>
      </c>
      <c r="D15" s="41" t="s">
        <v>337</v>
      </c>
      <c r="E15" s="411"/>
      <c r="F15" s="411"/>
      <c r="G15" s="411"/>
      <c r="H15" s="411"/>
      <c r="I15" s="412"/>
      <c r="J15" s="413"/>
      <c r="K15" s="411"/>
      <c r="L15" s="414"/>
      <c r="M15" s="415"/>
      <c r="N15" s="412"/>
      <c r="O15" s="413"/>
      <c r="P15" s="411"/>
      <c r="Q15" s="414"/>
      <c r="R15" s="415"/>
      <c r="T15" s="415"/>
      <c r="U15" s="415"/>
      <c r="V15" s="415"/>
      <c r="W15" s="415"/>
      <c r="Y15" s="415"/>
      <c r="Z15" s="415"/>
      <c r="AA15" s="415"/>
      <c r="AB15" s="415"/>
      <c r="AD15" s="468" t="s">
        <v>28</v>
      </c>
      <c r="AE15" s="415">
        <v>2</v>
      </c>
      <c r="AF15" s="493">
        <v>2</v>
      </c>
      <c r="AG15" s="415">
        <v>2</v>
      </c>
      <c r="AI15" s="468">
        <v>2</v>
      </c>
      <c r="AJ15" s="415">
        <v>2</v>
      </c>
      <c r="AK15" s="493">
        <v>2</v>
      </c>
      <c r="AL15" s="415">
        <v>2</v>
      </c>
      <c r="AN15" s="468">
        <v>4</v>
      </c>
      <c r="AO15" s="415">
        <v>4</v>
      </c>
      <c r="AP15" s="493">
        <v>4</v>
      </c>
      <c r="AQ15" s="415"/>
    </row>
    <row r="16" spans="1:43" ht="22.35" customHeight="1" outlineLevel="2">
      <c r="A16" s="603"/>
      <c r="B16" s="604"/>
      <c r="C16" s="42" t="s">
        <v>35</v>
      </c>
      <c r="D16" s="41" t="s">
        <v>338</v>
      </c>
      <c r="E16" s="411"/>
      <c r="F16" s="411"/>
      <c r="G16" s="411"/>
      <c r="H16" s="411"/>
      <c r="I16" s="412"/>
      <c r="J16" s="413"/>
      <c r="K16" s="411"/>
      <c r="L16" s="414"/>
      <c r="M16" s="415"/>
      <c r="N16" s="412"/>
      <c r="O16" s="413"/>
      <c r="P16" s="411"/>
      <c r="Q16" s="414"/>
      <c r="R16" s="415"/>
      <c r="T16" s="415"/>
      <c r="U16" s="415"/>
      <c r="V16" s="415"/>
      <c r="W16" s="415"/>
      <c r="Y16" s="415"/>
      <c r="Z16" s="415"/>
      <c r="AA16" s="415"/>
      <c r="AB16" s="415"/>
      <c r="AD16" s="468" t="s">
        <v>28</v>
      </c>
      <c r="AE16" s="415">
        <v>3</v>
      </c>
      <c r="AF16" s="493">
        <v>3</v>
      </c>
      <c r="AG16" s="415">
        <v>3</v>
      </c>
      <c r="AI16" s="468">
        <v>3</v>
      </c>
      <c r="AJ16" s="415">
        <v>3</v>
      </c>
      <c r="AK16" s="493">
        <v>3</v>
      </c>
      <c r="AL16" s="415">
        <v>3</v>
      </c>
      <c r="AN16" s="468">
        <v>3</v>
      </c>
      <c r="AO16" s="415">
        <v>3</v>
      </c>
      <c r="AP16" s="493">
        <v>4</v>
      </c>
      <c r="AQ16" s="415"/>
    </row>
    <row r="17" spans="1:43" ht="22.35" customHeight="1" outlineLevel="2">
      <c r="A17" s="603"/>
      <c r="B17" s="602"/>
      <c r="C17" s="472" t="s">
        <v>29</v>
      </c>
      <c r="D17" s="43" t="s">
        <v>339</v>
      </c>
      <c r="E17" s="418"/>
      <c r="F17" s="418"/>
      <c r="G17" s="418"/>
      <c r="H17" s="419"/>
      <c r="I17" s="412"/>
      <c r="J17" s="420"/>
      <c r="K17" s="418"/>
      <c r="L17" s="421"/>
      <c r="M17" s="422"/>
      <c r="N17" s="412"/>
      <c r="O17" s="420"/>
      <c r="P17" s="418"/>
      <c r="Q17" s="421"/>
      <c r="R17" s="422"/>
      <c r="T17" s="422"/>
      <c r="U17" s="422"/>
      <c r="V17" s="422"/>
      <c r="W17" s="422"/>
      <c r="Y17" s="422"/>
      <c r="Z17" s="422"/>
      <c r="AA17" s="422"/>
      <c r="AB17" s="422"/>
      <c r="AD17" s="469"/>
      <c r="AE17" s="422"/>
      <c r="AF17" s="494"/>
      <c r="AG17" s="422">
        <v>0</v>
      </c>
      <c r="AI17" s="469">
        <v>17</v>
      </c>
      <c r="AJ17" s="422">
        <v>15</v>
      </c>
      <c r="AK17" s="494">
        <v>15</v>
      </c>
      <c r="AL17" s="422">
        <v>15</v>
      </c>
      <c r="AN17" s="469">
        <v>15</v>
      </c>
      <c r="AO17" s="422">
        <v>14</v>
      </c>
      <c r="AP17" s="494">
        <v>14</v>
      </c>
      <c r="AQ17" s="422"/>
    </row>
    <row r="18" spans="1:43" ht="15.6" outlineLevel="1">
      <c r="A18" s="603"/>
      <c r="C18" s="423" t="s">
        <v>273</v>
      </c>
      <c r="D18" s="424" t="s">
        <v>274</v>
      </c>
      <c r="E18" s="425">
        <f>SUM(E3:E13)</f>
        <v>782</v>
      </c>
      <c r="F18" s="425">
        <f>SUM(F3:F13)</f>
        <v>854</v>
      </c>
      <c r="G18" s="425">
        <f>SUM(G3:G13)</f>
        <v>871</v>
      </c>
      <c r="H18" s="425">
        <f>SUM(H3:H13)</f>
        <v>893</v>
      </c>
      <c r="I18" s="426"/>
      <c r="J18" s="427">
        <f>SUM(J3:J13)</f>
        <v>898</v>
      </c>
      <c r="K18" s="427">
        <f>SUM(K3:K13)</f>
        <v>911</v>
      </c>
      <c r="L18" s="427">
        <f>SUM(L3:L13)</f>
        <v>918</v>
      </c>
      <c r="M18" s="427">
        <f>SUM(M3:M13)</f>
        <v>942</v>
      </c>
      <c r="N18" s="426"/>
      <c r="O18" s="427">
        <f>SUM(O3:O13)</f>
        <v>934</v>
      </c>
      <c r="P18" s="427">
        <f>SUM(P3:P13)</f>
        <v>933</v>
      </c>
      <c r="Q18" s="427">
        <f>SUM(Q3:Q13)</f>
        <v>945</v>
      </c>
      <c r="R18" s="427">
        <f>SUM(R3:R13)</f>
        <v>954</v>
      </c>
      <c r="T18" s="427">
        <f>SUM(T3:T13)</f>
        <v>933</v>
      </c>
      <c r="U18" s="427">
        <f>SUM(U3:U13)</f>
        <v>932</v>
      </c>
      <c r="V18" s="427">
        <f>SUM(V3:V13)</f>
        <v>955</v>
      </c>
      <c r="W18" s="427">
        <f>SUM(W3:W13)</f>
        <v>940</v>
      </c>
      <c r="Y18" s="427">
        <v>923</v>
      </c>
      <c r="Z18" s="427">
        <f>SUM(Z3:Z13)</f>
        <v>896</v>
      </c>
      <c r="AA18" s="427">
        <f>SUM(AA3:AA13)</f>
        <v>871</v>
      </c>
      <c r="AB18" s="427">
        <f>SUM(AB3:AB13)</f>
        <v>849</v>
      </c>
      <c r="AD18" s="427">
        <f>SUM(AD3:AD13)</f>
        <v>811</v>
      </c>
      <c r="AE18" s="427">
        <v>819</v>
      </c>
      <c r="AF18" s="427">
        <f>SUM(AF3:AF16)</f>
        <v>824</v>
      </c>
      <c r="AG18" s="427">
        <v>819</v>
      </c>
      <c r="AI18" s="427">
        <f>SUM(AI3:AI17)</f>
        <v>834</v>
      </c>
      <c r="AJ18" s="427">
        <f>SUM(AJ3:AJ17)</f>
        <v>816</v>
      </c>
      <c r="AK18" s="427">
        <f>SUM(AK3:AK17)</f>
        <v>807</v>
      </c>
      <c r="AL18" s="427">
        <f>SUM(AL3:AL17)</f>
        <v>796</v>
      </c>
      <c r="AN18" s="427">
        <f>SUM(AN3:AN17)</f>
        <v>799</v>
      </c>
      <c r="AO18" s="427">
        <f>SUM(AO3:AO17)</f>
        <v>797</v>
      </c>
      <c r="AP18" s="427">
        <f>SUM(AP3:AP17)</f>
        <v>807</v>
      </c>
      <c r="AQ18" s="427"/>
    </row>
    <row r="19" spans="1:43" ht="22.35" customHeight="1" outlineLevel="2">
      <c r="A19" s="603"/>
      <c r="B19" s="601"/>
      <c r="C19" s="42" t="s">
        <v>29</v>
      </c>
      <c r="D19" s="41" t="s">
        <v>30</v>
      </c>
      <c r="E19" s="428">
        <v>6</v>
      </c>
      <c r="F19" s="428">
        <v>7</v>
      </c>
      <c r="G19" s="428">
        <v>8</v>
      </c>
      <c r="H19" s="428">
        <v>11</v>
      </c>
      <c r="I19" s="412"/>
      <c r="J19" s="428">
        <v>11</v>
      </c>
      <c r="K19" s="428">
        <v>12</v>
      </c>
      <c r="L19" s="428">
        <v>15</v>
      </c>
      <c r="M19" s="429">
        <v>17</v>
      </c>
      <c r="N19" s="430"/>
      <c r="O19" s="428">
        <v>17</v>
      </c>
      <c r="P19" s="428">
        <v>19</v>
      </c>
      <c r="Q19" s="428">
        <v>19</v>
      </c>
      <c r="R19" s="429">
        <v>19</v>
      </c>
      <c r="T19" s="429">
        <v>17</v>
      </c>
      <c r="U19" s="429">
        <v>19</v>
      </c>
      <c r="V19" s="429">
        <v>19</v>
      </c>
      <c r="W19" s="429">
        <v>18</v>
      </c>
      <c r="Y19" s="431">
        <v>18</v>
      </c>
      <c r="Z19" s="431">
        <v>18</v>
      </c>
      <c r="AA19" s="431">
        <v>18</v>
      </c>
      <c r="AB19" s="429">
        <v>17</v>
      </c>
      <c r="AD19" s="431">
        <v>16</v>
      </c>
      <c r="AE19" s="470">
        <v>16</v>
      </c>
      <c r="AF19" s="470">
        <v>17</v>
      </c>
      <c r="AG19" s="429">
        <v>16</v>
      </c>
      <c r="AI19" s="470">
        <v>0</v>
      </c>
      <c r="AJ19" s="470">
        <v>0</v>
      </c>
      <c r="AK19" s="470">
        <v>0</v>
      </c>
      <c r="AL19" s="429">
        <v>0</v>
      </c>
      <c r="AN19" s="470"/>
      <c r="AO19" s="470"/>
      <c r="AP19" s="470"/>
      <c r="AQ19" s="429"/>
    </row>
    <row r="20" spans="1:43" ht="22.35" customHeight="1" outlineLevel="2">
      <c r="A20" s="603"/>
      <c r="B20" s="604"/>
      <c r="C20" s="42" t="s">
        <v>31</v>
      </c>
      <c r="D20" s="41" t="s">
        <v>32</v>
      </c>
      <c r="E20" s="432">
        <v>7</v>
      </c>
      <c r="F20" s="432">
        <v>7</v>
      </c>
      <c r="G20" s="432">
        <v>7</v>
      </c>
      <c r="H20" s="432">
        <v>7</v>
      </c>
      <c r="I20" s="433"/>
      <c r="J20" s="432">
        <v>7</v>
      </c>
      <c r="K20" s="432">
        <v>7</v>
      </c>
      <c r="L20" s="432">
        <v>7</v>
      </c>
      <c r="M20" s="434">
        <v>7</v>
      </c>
      <c r="N20" s="433"/>
      <c r="O20" s="432">
        <v>7</v>
      </c>
      <c r="P20" s="432">
        <v>7</v>
      </c>
      <c r="Q20" s="432">
        <v>7</v>
      </c>
      <c r="R20" s="434">
        <v>7</v>
      </c>
      <c r="T20" s="434">
        <v>7</v>
      </c>
      <c r="U20" s="434">
        <v>7</v>
      </c>
      <c r="V20" s="434">
        <v>7</v>
      </c>
      <c r="W20" s="434">
        <v>7</v>
      </c>
      <c r="Y20" s="415">
        <v>7</v>
      </c>
      <c r="Z20" s="415">
        <v>7</v>
      </c>
      <c r="AA20" s="415">
        <v>7</v>
      </c>
      <c r="AB20" s="434">
        <v>7</v>
      </c>
      <c r="AD20" s="415">
        <v>6</v>
      </c>
      <c r="AE20" s="468" t="s">
        <v>28</v>
      </c>
      <c r="AF20" s="493" t="s">
        <v>28</v>
      </c>
      <c r="AG20" s="415">
        <v>0</v>
      </c>
      <c r="AI20" s="415">
        <v>0</v>
      </c>
      <c r="AJ20" s="468">
        <v>0</v>
      </c>
      <c r="AK20" s="493">
        <v>0</v>
      </c>
      <c r="AL20" s="434">
        <v>0</v>
      </c>
      <c r="AN20" s="415"/>
      <c r="AO20" s="468"/>
      <c r="AP20" s="493"/>
      <c r="AQ20" s="434"/>
    </row>
    <row r="21" spans="1:43" ht="22.35" customHeight="1" outlineLevel="2">
      <c r="A21" s="603"/>
      <c r="B21" s="604"/>
      <c r="C21" s="42" t="s">
        <v>33</v>
      </c>
      <c r="D21" s="41" t="s">
        <v>34</v>
      </c>
      <c r="E21" s="432">
        <v>4</v>
      </c>
      <c r="F21" s="432">
        <v>4</v>
      </c>
      <c r="G21" s="432">
        <v>4</v>
      </c>
      <c r="H21" s="432">
        <v>4</v>
      </c>
      <c r="I21" s="433"/>
      <c r="J21" s="432">
        <v>4</v>
      </c>
      <c r="K21" s="432">
        <v>4</v>
      </c>
      <c r="L21" s="432">
        <v>4</v>
      </c>
      <c r="M21" s="434">
        <v>4</v>
      </c>
      <c r="N21" s="433"/>
      <c r="O21" s="432">
        <v>4</v>
      </c>
      <c r="P21" s="432">
        <v>4</v>
      </c>
      <c r="Q21" s="432">
        <v>4</v>
      </c>
      <c r="R21" s="434">
        <v>3</v>
      </c>
      <c r="T21" s="434">
        <v>4</v>
      </c>
      <c r="U21" s="434">
        <v>4</v>
      </c>
      <c r="V21" s="434">
        <v>3</v>
      </c>
      <c r="W21" s="434">
        <v>3</v>
      </c>
      <c r="Y21" s="415">
        <v>3</v>
      </c>
      <c r="Z21" s="415">
        <v>3</v>
      </c>
      <c r="AA21" s="415">
        <v>3</v>
      </c>
      <c r="AB21" s="434">
        <v>3</v>
      </c>
      <c r="AD21" s="415">
        <v>3</v>
      </c>
      <c r="AE21" s="468" t="s">
        <v>28</v>
      </c>
      <c r="AF21" s="493" t="s">
        <v>28</v>
      </c>
      <c r="AG21" s="415">
        <v>0</v>
      </c>
      <c r="AI21" s="415">
        <v>0</v>
      </c>
      <c r="AJ21" s="468">
        <v>0</v>
      </c>
      <c r="AK21" s="493">
        <v>0</v>
      </c>
      <c r="AL21" s="434">
        <v>0</v>
      </c>
      <c r="AN21" s="415"/>
      <c r="AO21" s="468"/>
      <c r="AP21" s="493"/>
      <c r="AQ21" s="434"/>
    </row>
    <row r="22" spans="1:43" ht="22.35" customHeight="1" outlineLevel="1">
      <c r="A22" s="603"/>
      <c r="B22" s="604"/>
      <c r="C22" s="42" t="s">
        <v>35</v>
      </c>
      <c r="D22" s="44" t="s">
        <v>35</v>
      </c>
      <c r="E22" s="432">
        <v>1</v>
      </c>
      <c r="F22" s="432">
        <v>2</v>
      </c>
      <c r="G22" s="432">
        <v>2</v>
      </c>
      <c r="H22" s="432">
        <v>3</v>
      </c>
      <c r="I22" s="433"/>
      <c r="J22" s="432">
        <v>3</v>
      </c>
      <c r="K22" s="432">
        <v>3</v>
      </c>
      <c r="L22" s="432">
        <v>3</v>
      </c>
      <c r="M22" s="434">
        <v>4</v>
      </c>
      <c r="N22" s="433"/>
      <c r="O22" s="432">
        <v>4</v>
      </c>
      <c r="P22" s="432">
        <v>4</v>
      </c>
      <c r="Q22" s="432">
        <v>3</v>
      </c>
      <c r="R22" s="434">
        <v>3</v>
      </c>
      <c r="T22" s="434">
        <v>4</v>
      </c>
      <c r="U22" s="434">
        <v>4</v>
      </c>
      <c r="V22" s="434">
        <v>3</v>
      </c>
      <c r="W22" s="434">
        <v>3</v>
      </c>
      <c r="Y22" s="415">
        <v>3</v>
      </c>
      <c r="Z22" s="415">
        <v>3</v>
      </c>
      <c r="AA22" s="415">
        <v>3</v>
      </c>
      <c r="AB22" s="434">
        <v>3</v>
      </c>
      <c r="AD22" s="415">
        <v>3</v>
      </c>
      <c r="AE22" s="468" t="s">
        <v>28</v>
      </c>
      <c r="AF22" s="493" t="s">
        <v>28</v>
      </c>
      <c r="AG22" s="415">
        <v>0</v>
      </c>
      <c r="AI22" s="415">
        <v>0</v>
      </c>
      <c r="AJ22" s="468">
        <v>0</v>
      </c>
      <c r="AK22" s="493">
        <v>0</v>
      </c>
      <c r="AL22" s="434">
        <v>0</v>
      </c>
      <c r="AN22" s="415"/>
      <c r="AO22" s="468"/>
      <c r="AP22" s="493"/>
      <c r="AQ22" s="434"/>
    </row>
    <row r="23" spans="1:43" ht="22.35" customHeight="1" outlineLevel="2">
      <c r="A23" s="603"/>
      <c r="B23" s="604"/>
      <c r="C23" s="42" t="s">
        <v>36</v>
      </c>
      <c r="D23" s="44" t="s">
        <v>37</v>
      </c>
      <c r="E23" s="432">
        <v>1</v>
      </c>
      <c r="F23" s="432">
        <v>1</v>
      </c>
      <c r="G23" s="432">
        <v>1</v>
      </c>
      <c r="H23" s="432">
        <v>1</v>
      </c>
      <c r="I23" s="433"/>
      <c r="J23" s="432">
        <v>1</v>
      </c>
      <c r="K23" s="432">
        <v>1</v>
      </c>
      <c r="L23" s="432">
        <v>1</v>
      </c>
      <c r="M23" s="434">
        <v>1</v>
      </c>
      <c r="N23" s="433"/>
      <c r="O23" s="432">
        <v>1</v>
      </c>
      <c r="P23" s="432">
        <v>1</v>
      </c>
      <c r="Q23" s="432">
        <v>1</v>
      </c>
      <c r="R23" s="434">
        <v>1</v>
      </c>
      <c r="T23" s="434">
        <v>1</v>
      </c>
      <c r="U23" s="434">
        <v>1</v>
      </c>
      <c r="V23" s="434">
        <v>1</v>
      </c>
      <c r="W23" s="434">
        <v>1</v>
      </c>
      <c r="Y23" s="415">
        <v>1</v>
      </c>
      <c r="Z23" s="415">
        <v>1</v>
      </c>
      <c r="AA23" s="415">
        <v>1</v>
      </c>
      <c r="AB23" s="434">
        <v>1</v>
      </c>
      <c r="AD23" s="415">
        <v>1</v>
      </c>
      <c r="AE23" s="415">
        <v>1</v>
      </c>
      <c r="AF23" s="493">
        <v>1</v>
      </c>
      <c r="AG23" s="434">
        <v>1</v>
      </c>
      <c r="AI23" s="415">
        <v>1</v>
      </c>
      <c r="AJ23" s="415">
        <v>1</v>
      </c>
      <c r="AK23" s="493">
        <v>1</v>
      </c>
      <c r="AL23" s="434">
        <v>1</v>
      </c>
      <c r="AN23" s="415">
        <v>1</v>
      </c>
      <c r="AO23" s="415">
        <v>1</v>
      </c>
      <c r="AP23" s="493">
        <v>1</v>
      </c>
      <c r="AQ23" s="434"/>
    </row>
    <row r="24" spans="1:43" ht="22.35" customHeight="1" outlineLevel="2">
      <c r="A24" s="603"/>
      <c r="B24" s="604"/>
      <c r="C24" s="42" t="s">
        <v>38</v>
      </c>
      <c r="D24" s="44" t="s">
        <v>39</v>
      </c>
      <c r="E24" s="432" t="s">
        <v>28</v>
      </c>
      <c r="F24" s="432" t="s">
        <v>28</v>
      </c>
      <c r="G24" s="432" t="s">
        <v>28</v>
      </c>
      <c r="H24" s="432" t="s">
        <v>28</v>
      </c>
      <c r="I24" s="433"/>
      <c r="J24" s="432" t="s">
        <v>28</v>
      </c>
      <c r="K24" s="432">
        <v>1</v>
      </c>
      <c r="L24" s="432">
        <v>2</v>
      </c>
      <c r="M24" s="434">
        <v>2</v>
      </c>
      <c r="N24" s="433"/>
      <c r="O24" s="432">
        <v>2</v>
      </c>
      <c r="P24" s="432">
        <v>2</v>
      </c>
      <c r="Q24" s="432">
        <v>2</v>
      </c>
      <c r="R24" s="434">
        <v>2</v>
      </c>
      <c r="T24" s="434">
        <v>2</v>
      </c>
      <c r="U24" s="434">
        <v>2</v>
      </c>
      <c r="V24" s="434">
        <v>2</v>
      </c>
      <c r="W24" s="434">
        <v>2</v>
      </c>
      <c r="Y24" s="415">
        <v>2</v>
      </c>
      <c r="Z24" s="415">
        <v>2</v>
      </c>
      <c r="AA24" s="415">
        <v>2</v>
      </c>
      <c r="AB24" s="434">
        <v>2</v>
      </c>
      <c r="AD24" s="415">
        <v>2</v>
      </c>
      <c r="AE24" s="415">
        <v>2</v>
      </c>
      <c r="AF24" s="493">
        <v>2</v>
      </c>
      <c r="AG24" s="434">
        <v>2</v>
      </c>
      <c r="AI24" s="415">
        <v>2</v>
      </c>
      <c r="AJ24" s="415">
        <v>2</v>
      </c>
      <c r="AK24" s="493">
        <v>2</v>
      </c>
      <c r="AL24" s="434">
        <v>2</v>
      </c>
      <c r="AN24" s="415">
        <v>2</v>
      </c>
      <c r="AO24" s="415">
        <v>2</v>
      </c>
      <c r="AP24" s="493">
        <v>2</v>
      </c>
      <c r="AQ24" s="434"/>
    </row>
    <row r="25" spans="1:43" ht="22.35" customHeight="1" outlineLevel="2">
      <c r="A25" s="603"/>
      <c r="B25" s="604"/>
      <c r="C25" s="42" t="s">
        <v>40</v>
      </c>
      <c r="D25" s="44" t="s">
        <v>41</v>
      </c>
      <c r="E25" s="432" t="s">
        <v>28</v>
      </c>
      <c r="F25" s="432" t="s">
        <v>28</v>
      </c>
      <c r="G25" s="432" t="s">
        <v>28</v>
      </c>
      <c r="H25" s="432" t="s">
        <v>28</v>
      </c>
      <c r="I25" s="433"/>
      <c r="J25" s="432" t="s">
        <v>28</v>
      </c>
      <c r="K25" s="432">
        <v>1</v>
      </c>
      <c r="L25" s="432">
        <v>1</v>
      </c>
      <c r="M25" s="434">
        <v>1</v>
      </c>
      <c r="N25" s="433"/>
      <c r="O25" s="432">
        <v>1</v>
      </c>
      <c r="P25" s="432">
        <v>1</v>
      </c>
      <c r="Q25" s="432">
        <v>1</v>
      </c>
      <c r="R25" s="434">
        <v>1</v>
      </c>
      <c r="T25" s="434">
        <v>1</v>
      </c>
      <c r="U25" s="434">
        <v>1</v>
      </c>
      <c r="V25" s="434">
        <v>1</v>
      </c>
      <c r="W25" s="434">
        <v>1</v>
      </c>
      <c r="Y25" s="415">
        <v>1</v>
      </c>
      <c r="Z25" s="415">
        <v>1</v>
      </c>
      <c r="AA25" s="415">
        <v>1</v>
      </c>
      <c r="AB25" s="434">
        <v>1</v>
      </c>
      <c r="AD25" s="415">
        <v>1</v>
      </c>
      <c r="AE25" s="415">
        <v>1</v>
      </c>
      <c r="AF25" s="493">
        <v>1</v>
      </c>
      <c r="AG25" s="434">
        <v>1</v>
      </c>
      <c r="AI25" s="415">
        <v>1</v>
      </c>
      <c r="AJ25" s="415">
        <v>1</v>
      </c>
      <c r="AK25" s="493">
        <v>1</v>
      </c>
      <c r="AL25" s="434">
        <v>0</v>
      </c>
      <c r="AN25" s="415"/>
      <c r="AO25" s="415"/>
      <c r="AP25" s="493"/>
      <c r="AQ25" s="434"/>
    </row>
    <row r="26" spans="1:43" ht="22.35" customHeight="1" outlineLevel="2">
      <c r="A26" s="603"/>
      <c r="B26" s="604"/>
      <c r="C26" s="42" t="s">
        <v>42</v>
      </c>
      <c r="D26" s="41" t="s">
        <v>43</v>
      </c>
      <c r="E26" s="432" t="s">
        <v>28</v>
      </c>
      <c r="F26" s="432" t="s">
        <v>28</v>
      </c>
      <c r="G26" s="432" t="s">
        <v>28</v>
      </c>
      <c r="H26" s="432" t="s">
        <v>28</v>
      </c>
      <c r="I26" s="433"/>
      <c r="J26" s="432" t="s">
        <v>28</v>
      </c>
      <c r="K26" s="432">
        <v>2</v>
      </c>
      <c r="L26" s="432">
        <v>3</v>
      </c>
      <c r="M26" s="434">
        <v>4</v>
      </c>
      <c r="N26" s="433"/>
      <c r="O26" s="432">
        <v>5</v>
      </c>
      <c r="P26" s="432">
        <v>5</v>
      </c>
      <c r="Q26" s="432">
        <v>5</v>
      </c>
      <c r="R26" s="434">
        <v>5</v>
      </c>
      <c r="T26" s="434">
        <v>4</v>
      </c>
      <c r="U26" s="434">
        <v>5</v>
      </c>
      <c r="V26" s="434">
        <v>5</v>
      </c>
      <c r="W26" s="434">
        <v>5</v>
      </c>
      <c r="Y26" s="415">
        <v>5</v>
      </c>
      <c r="Z26" s="415">
        <v>5</v>
      </c>
      <c r="AA26" s="415">
        <v>6</v>
      </c>
      <c r="AB26" s="434">
        <v>6</v>
      </c>
      <c r="AD26" s="415">
        <v>6</v>
      </c>
      <c r="AE26" s="415">
        <v>6</v>
      </c>
      <c r="AF26" s="493">
        <v>6</v>
      </c>
      <c r="AG26" s="434">
        <v>6</v>
      </c>
      <c r="AI26" s="415">
        <v>6</v>
      </c>
      <c r="AJ26" s="415">
        <v>6</v>
      </c>
      <c r="AK26" s="493">
        <v>6</v>
      </c>
      <c r="AL26" s="434">
        <v>3</v>
      </c>
      <c r="AN26" s="415">
        <v>3</v>
      </c>
      <c r="AO26" s="415">
        <v>3</v>
      </c>
      <c r="AP26" s="493">
        <v>0</v>
      </c>
      <c r="AQ26" s="434"/>
    </row>
    <row r="27" spans="1:43" ht="22.35" customHeight="1" outlineLevel="2">
      <c r="A27" s="603"/>
      <c r="B27" s="604"/>
      <c r="C27" s="42" t="s">
        <v>44</v>
      </c>
      <c r="D27" s="41" t="s">
        <v>45</v>
      </c>
      <c r="E27" s="432"/>
      <c r="F27" s="432"/>
      <c r="G27" s="432"/>
      <c r="H27" s="432" t="s">
        <v>28</v>
      </c>
      <c r="I27" s="433"/>
      <c r="J27" s="432" t="s">
        <v>28</v>
      </c>
      <c r="K27" s="432" t="s">
        <v>28</v>
      </c>
      <c r="L27" s="432">
        <v>1</v>
      </c>
      <c r="M27" s="434">
        <v>1</v>
      </c>
      <c r="N27" s="433"/>
      <c r="O27" s="432">
        <v>1</v>
      </c>
      <c r="P27" s="432">
        <v>2</v>
      </c>
      <c r="Q27" s="432">
        <v>2</v>
      </c>
      <c r="R27" s="434">
        <v>2</v>
      </c>
      <c r="T27" s="434">
        <v>1</v>
      </c>
      <c r="U27" s="434">
        <v>2</v>
      </c>
      <c r="V27" s="434">
        <v>2</v>
      </c>
      <c r="W27" s="434">
        <v>2</v>
      </c>
      <c r="Y27" s="415">
        <v>3</v>
      </c>
      <c r="Z27" s="415">
        <v>3</v>
      </c>
      <c r="AA27" s="415">
        <v>3</v>
      </c>
      <c r="AB27" s="434">
        <v>3</v>
      </c>
      <c r="AD27" s="415">
        <v>3</v>
      </c>
      <c r="AE27" s="415">
        <v>3</v>
      </c>
      <c r="AF27" s="493">
        <v>3</v>
      </c>
      <c r="AG27" s="434">
        <v>3</v>
      </c>
      <c r="AI27" s="415">
        <v>3</v>
      </c>
      <c r="AJ27" s="415">
        <v>3</v>
      </c>
      <c r="AK27" s="493">
        <v>3</v>
      </c>
      <c r="AL27" s="434">
        <v>1</v>
      </c>
      <c r="AN27" s="415">
        <v>1</v>
      </c>
      <c r="AO27" s="415">
        <v>1</v>
      </c>
      <c r="AP27" s="493">
        <v>0</v>
      </c>
      <c r="AQ27" s="434"/>
    </row>
    <row r="28" spans="1:43" ht="22.35" customHeight="1" outlineLevel="2">
      <c r="A28" s="603"/>
      <c r="B28" s="604"/>
      <c r="C28" s="42" t="s">
        <v>46</v>
      </c>
      <c r="D28" s="41" t="s">
        <v>46</v>
      </c>
      <c r="E28" s="432"/>
      <c r="F28" s="432"/>
      <c r="G28" s="432"/>
      <c r="H28" s="432" t="s">
        <v>28</v>
      </c>
      <c r="I28" s="433"/>
      <c r="J28" s="432" t="s">
        <v>28</v>
      </c>
      <c r="K28" s="432" t="s">
        <v>28</v>
      </c>
      <c r="L28" s="432">
        <v>1</v>
      </c>
      <c r="M28" s="434">
        <v>1</v>
      </c>
      <c r="N28" s="433"/>
      <c r="O28" s="432">
        <v>1</v>
      </c>
      <c r="P28" s="432">
        <v>1</v>
      </c>
      <c r="Q28" s="432">
        <v>1</v>
      </c>
      <c r="R28" s="434">
        <v>1</v>
      </c>
      <c r="T28" s="434">
        <v>1</v>
      </c>
      <c r="U28" s="434">
        <v>1</v>
      </c>
      <c r="V28" s="434">
        <v>1</v>
      </c>
      <c r="W28" s="434">
        <v>1</v>
      </c>
      <c r="Y28" s="415">
        <v>1</v>
      </c>
      <c r="Z28" s="415">
        <v>1</v>
      </c>
      <c r="AA28" s="415">
        <v>1</v>
      </c>
      <c r="AB28" s="434">
        <v>1</v>
      </c>
      <c r="AD28" s="415">
        <v>1</v>
      </c>
      <c r="AE28" s="415">
        <v>1</v>
      </c>
      <c r="AF28" s="493">
        <v>1</v>
      </c>
      <c r="AG28" s="434">
        <v>1</v>
      </c>
      <c r="AI28" s="415">
        <v>1</v>
      </c>
      <c r="AJ28" s="415">
        <v>1</v>
      </c>
      <c r="AK28" s="493">
        <v>1</v>
      </c>
      <c r="AL28" s="434">
        <v>1</v>
      </c>
      <c r="AN28" s="415">
        <v>1</v>
      </c>
      <c r="AO28" s="415">
        <v>1</v>
      </c>
      <c r="AP28" s="493">
        <v>0</v>
      </c>
      <c r="AQ28" s="434"/>
    </row>
    <row r="29" spans="1:43" ht="22.35" customHeight="1" outlineLevel="2">
      <c r="A29" s="603"/>
      <c r="B29" s="602"/>
      <c r="C29" s="472" t="s">
        <v>47</v>
      </c>
      <c r="D29" s="43" t="s">
        <v>48</v>
      </c>
      <c r="E29" s="432" t="s">
        <v>28</v>
      </c>
      <c r="F29" s="432" t="s">
        <v>28</v>
      </c>
      <c r="G29" s="432" t="s">
        <v>28</v>
      </c>
      <c r="H29" s="432" t="s">
        <v>28</v>
      </c>
      <c r="I29" s="433"/>
      <c r="J29" s="432" t="s">
        <v>28</v>
      </c>
      <c r="K29" s="432" t="s">
        <v>28</v>
      </c>
      <c r="L29" s="432">
        <v>1</v>
      </c>
      <c r="M29" s="435">
        <v>1</v>
      </c>
      <c r="N29" s="430"/>
      <c r="O29" s="432">
        <v>1</v>
      </c>
      <c r="P29" s="432">
        <v>1</v>
      </c>
      <c r="Q29" s="432">
        <v>1</v>
      </c>
      <c r="R29" s="435">
        <v>1</v>
      </c>
      <c r="T29" s="435">
        <v>1</v>
      </c>
      <c r="U29" s="435">
        <v>1</v>
      </c>
      <c r="V29" s="435">
        <v>1</v>
      </c>
      <c r="W29" s="435">
        <v>1</v>
      </c>
      <c r="Y29" s="422">
        <v>1</v>
      </c>
      <c r="Z29" s="422">
        <v>1</v>
      </c>
      <c r="AA29" s="422">
        <v>1</v>
      </c>
      <c r="AB29" s="435">
        <v>1</v>
      </c>
      <c r="AD29" s="422">
        <v>1</v>
      </c>
      <c r="AE29" s="422">
        <v>1</v>
      </c>
      <c r="AF29" s="494">
        <v>1</v>
      </c>
      <c r="AG29" s="435">
        <v>1</v>
      </c>
      <c r="AI29" s="422">
        <v>1</v>
      </c>
      <c r="AJ29" s="422">
        <v>1</v>
      </c>
      <c r="AK29" s="494">
        <v>1</v>
      </c>
      <c r="AL29" s="435">
        <v>0</v>
      </c>
      <c r="AN29" s="422"/>
      <c r="AO29" s="422"/>
      <c r="AP29" s="494"/>
      <c r="AQ29" s="435"/>
    </row>
    <row r="30" spans="1:43" ht="15.6" outlineLevel="1">
      <c r="A30" s="603"/>
      <c r="B30" s="558"/>
      <c r="C30" s="436" t="s">
        <v>49</v>
      </c>
      <c r="D30" s="437" t="s">
        <v>50</v>
      </c>
      <c r="E30" s="55">
        <f>SUM(E19:E29)</f>
        <v>19</v>
      </c>
      <c r="F30" s="55">
        <f>SUM(F19:F29)</f>
        <v>21</v>
      </c>
      <c r="G30" s="55">
        <f>SUM(G19:G29)</f>
        <v>22</v>
      </c>
      <c r="H30" s="55">
        <f>SUM(H19:H29)</f>
        <v>26</v>
      </c>
      <c r="I30" s="56"/>
      <c r="J30" s="55">
        <f>SUM(J19:J29)</f>
        <v>26</v>
      </c>
      <c r="K30" s="55">
        <f>SUM(K19:K29)</f>
        <v>31</v>
      </c>
      <c r="L30" s="55">
        <f>SUM(L19:L29)</f>
        <v>39</v>
      </c>
      <c r="M30" s="55">
        <f>SUM(M19:M29)</f>
        <v>43</v>
      </c>
      <c r="N30" s="56"/>
      <c r="O30" s="55">
        <f>SUM(O19:O29)</f>
        <v>44</v>
      </c>
      <c r="P30" s="55">
        <f>SUM(P19:P29)</f>
        <v>47</v>
      </c>
      <c r="Q30" s="55">
        <f>SUM(Q19:Q29)</f>
        <v>46</v>
      </c>
      <c r="R30" s="55">
        <f>SUM(R19:R29)</f>
        <v>45</v>
      </c>
      <c r="T30" s="55">
        <f>SUM(T19:T29)</f>
        <v>43</v>
      </c>
      <c r="U30" s="55">
        <f>SUM(U19:U29)</f>
        <v>47</v>
      </c>
      <c r="V30" s="55">
        <f>SUM(V19:V29)</f>
        <v>45</v>
      </c>
      <c r="W30" s="55">
        <f>SUM(W19:W29)</f>
        <v>44</v>
      </c>
      <c r="Y30" s="55">
        <f>SUM(Y19:Y29)</f>
        <v>45</v>
      </c>
      <c r="Z30" s="55">
        <f>SUM(Z19:Z29)</f>
        <v>45</v>
      </c>
      <c r="AA30" s="55">
        <f>SUM(AA19:AA29)</f>
        <v>46</v>
      </c>
      <c r="AB30" s="55">
        <f>SUM(AB19:AB29)</f>
        <v>45</v>
      </c>
      <c r="AD30" s="55">
        <f>SUM(AD19:AD29)</f>
        <v>43</v>
      </c>
      <c r="AE30" s="55">
        <v>31</v>
      </c>
      <c r="AF30" s="55">
        <f>SUM(AF19:AF29)</f>
        <v>32</v>
      </c>
      <c r="AG30" s="55">
        <v>31</v>
      </c>
      <c r="AI30" s="55">
        <f>SUM(AI19:AI29)</f>
        <v>15</v>
      </c>
      <c r="AJ30" s="55">
        <f>SUM(AJ19:AJ29)</f>
        <v>15</v>
      </c>
      <c r="AK30" s="55">
        <f>SUM(AK19:AK29)</f>
        <v>15</v>
      </c>
      <c r="AL30" s="55">
        <f>SUM(AL19:AL29)</f>
        <v>8</v>
      </c>
      <c r="AN30" s="55">
        <f>SUM(AN19:AN29)</f>
        <v>8</v>
      </c>
      <c r="AO30" s="55">
        <f>SUM(AO19:AO29)</f>
        <v>8</v>
      </c>
      <c r="AP30" s="55">
        <f>SUM(AP19:AP29)</f>
        <v>3</v>
      </c>
      <c r="AQ30" s="55"/>
    </row>
    <row r="31" spans="1:43" ht="22.35" customHeight="1" outlineLevel="3">
      <c r="A31" s="603"/>
      <c r="B31" s="601" t="s">
        <v>275</v>
      </c>
      <c r="C31" s="124" t="s">
        <v>64</v>
      </c>
      <c r="D31" s="124" t="s">
        <v>64</v>
      </c>
      <c r="E31" s="438">
        <v>2</v>
      </c>
      <c r="F31" s="439">
        <v>2</v>
      </c>
      <c r="G31" s="439">
        <v>4</v>
      </c>
      <c r="H31" s="439">
        <v>9</v>
      </c>
      <c r="I31" s="414"/>
      <c r="J31" s="440">
        <v>10</v>
      </c>
      <c r="K31" s="439">
        <v>12</v>
      </c>
      <c r="L31" s="439">
        <v>14</v>
      </c>
      <c r="M31" s="439">
        <v>19</v>
      </c>
      <c r="N31" s="414"/>
      <c r="O31" s="440">
        <v>22</v>
      </c>
      <c r="P31" s="439">
        <v>25</v>
      </c>
      <c r="Q31" s="439">
        <v>25</v>
      </c>
      <c r="R31" s="439">
        <v>25</v>
      </c>
      <c r="T31" s="439">
        <v>22</v>
      </c>
      <c r="U31" s="439">
        <v>25</v>
      </c>
      <c r="V31" s="439">
        <v>25</v>
      </c>
      <c r="W31" s="439">
        <v>25</v>
      </c>
      <c r="Y31" s="439">
        <v>25</v>
      </c>
      <c r="Z31" s="439">
        <v>27</v>
      </c>
      <c r="AA31" s="439">
        <v>27</v>
      </c>
      <c r="AB31" s="439">
        <v>28</v>
      </c>
      <c r="AD31" s="439">
        <v>30</v>
      </c>
      <c r="AE31" s="439">
        <v>33</v>
      </c>
      <c r="AF31" s="495">
        <v>35</v>
      </c>
      <c r="AG31" s="439">
        <v>38</v>
      </c>
      <c r="AI31" s="439">
        <v>42</v>
      </c>
      <c r="AJ31" s="439">
        <v>48</v>
      </c>
      <c r="AK31" s="495">
        <v>50</v>
      </c>
      <c r="AL31" s="439">
        <v>52</v>
      </c>
      <c r="AN31" s="439">
        <v>52</v>
      </c>
      <c r="AO31" s="439">
        <v>52</v>
      </c>
      <c r="AP31" s="495">
        <v>51</v>
      </c>
      <c r="AQ31" s="439"/>
    </row>
    <row r="32" spans="1:43" ht="22.35" customHeight="1" outlineLevel="3">
      <c r="A32" s="603"/>
      <c r="B32" s="604"/>
      <c r="C32" s="42" t="s">
        <v>52</v>
      </c>
      <c r="D32" s="42" t="s">
        <v>52</v>
      </c>
      <c r="E32" s="441"/>
      <c r="F32" s="415"/>
      <c r="G32" s="415"/>
      <c r="H32" s="415"/>
      <c r="I32" s="414"/>
      <c r="J32" s="432"/>
      <c r="K32" s="415"/>
      <c r="L32" s="415"/>
      <c r="M32" s="415"/>
      <c r="N32" s="414"/>
      <c r="O32" s="432"/>
      <c r="P32" s="415"/>
      <c r="Q32" s="415"/>
      <c r="R32" s="415"/>
      <c r="T32" s="415"/>
      <c r="U32" s="415"/>
      <c r="V32" s="415"/>
      <c r="W32" s="415"/>
      <c r="Y32" s="415">
        <v>1</v>
      </c>
      <c r="Z32" s="415">
        <v>22</v>
      </c>
      <c r="AA32" s="415">
        <v>33</v>
      </c>
      <c r="AB32" s="415">
        <v>50</v>
      </c>
      <c r="AD32" s="415">
        <v>66</v>
      </c>
      <c r="AE32" s="415">
        <v>77</v>
      </c>
      <c r="AF32" s="493">
        <v>84</v>
      </c>
      <c r="AG32" s="415">
        <v>91</v>
      </c>
      <c r="AI32" s="415">
        <v>101</v>
      </c>
      <c r="AJ32" s="415">
        <v>108</v>
      </c>
      <c r="AK32" s="493">
        <v>121</v>
      </c>
      <c r="AL32" s="415">
        <v>123</v>
      </c>
      <c r="AN32" s="415">
        <v>129</v>
      </c>
      <c r="AO32" s="415">
        <v>131</v>
      </c>
      <c r="AP32" s="493">
        <v>141</v>
      </c>
      <c r="AQ32" s="415"/>
    </row>
    <row r="33" spans="1:43" ht="22.35" customHeight="1" outlineLevel="3">
      <c r="A33" s="603"/>
      <c r="B33" s="604"/>
      <c r="C33" s="124" t="s">
        <v>347</v>
      </c>
      <c r="D33" s="124" t="s">
        <v>347</v>
      </c>
      <c r="E33" s="441"/>
      <c r="F33" s="415"/>
      <c r="G33" s="415"/>
      <c r="H33" s="415"/>
      <c r="I33" s="414"/>
      <c r="J33" s="432"/>
      <c r="K33" s="415"/>
      <c r="L33" s="415"/>
      <c r="M33" s="415"/>
      <c r="N33" s="414"/>
      <c r="O33" s="432"/>
      <c r="P33" s="415"/>
      <c r="Q33" s="415"/>
      <c r="R33" s="415"/>
      <c r="T33" s="415"/>
      <c r="U33" s="415"/>
      <c r="V33" s="415"/>
      <c r="W33" s="415"/>
      <c r="Y33" s="415"/>
      <c r="Z33" s="415"/>
      <c r="AA33" s="415"/>
      <c r="AB33" s="415"/>
      <c r="AD33" s="415"/>
      <c r="AE33" s="415"/>
      <c r="AF33" s="493"/>
      <c r="AG33" s="415"/>
      <c r="AI33" s="415"/>
      <c r="AJ33" s="415"/>
      <c r="AK33" s="493"/>
      <c r="AL33" s="415"/>
      <c r="AN33" s="415">
        <v>0</v>
      </c>
      <c r="AO33" s="415">
        <v>14</v>
      </c>
      <c r="AP33" s="493">
        <v>14</v>
      </c>
      <c r="AQ33" s="415"/>
    </row>
    <row r="34" spans="1:43" ht="22.35" customHeight="1" outlineLevel="3">
      <c r="A34" s="603"/>
      <c r="B34" s="604"/>
      <c r="C34" s="124" t="s">
        <v>348</v>
      </c>
      <c r="D34" s="124" t="s">
        <v>348</v>
      </c>
      <c r="E34" s="441"/>
      <c r="F34" s="415"/>
      <c r="G34" s="415"/>
      <c r="H34" s="415"/>
      <c r="I34" s="414"/>
      <c r="J34" s="432"/>
      <c r="K34" s="415"/>
      <c r="L34" s="415"/>
      <c r="M34" s="415"/>
      <c r="N34" s="414"/>
      <c r="O34" s="432"/>
      <c r="P34" s="415"/>
      <c r="Q34" s="415"/>
      <c r="R34" s="415"/>
      <c r="T34" s="415"/>
      <c r="U34" s="415"/>
      <c r="V34" s="415"/>
      <c r="W34" s="415"/>
      <c r="Y34" s="415"/>
      <c r="Z34" s="415"/>
      <c r="AA34" s="415"/>
      <c r="AB34" s="415"/>
      <c r="AD34" s="415"/>
      <c r="AE34" s="415"/>
      <c r="AF34" s="493"/>
      <c r="AG34" s="415"/>
      <c r="AI34" s="415"/>
      <c r="AJ34" s="415"/>
      <c r="AK34" s="493"/>
      <c r="AL34" s="415"/>
      <c r="AN34" s="415"/>
      <c r="AO34" s="415"/>
      <c r="AP34" s="493">
        <v>2</v>
      </c>
      <c r="AQ34" s="415"/>
    </row>
    <row r="35" spans="1:43" ht="22.35" customHeight="1" outlineLevel="3">
      <c r="A35" s="603"/>
      <c r="B35" s="604"/>
      <c r="C35" s="42" t="s">
        <v>53</v>
      </c>
      <c r="D35" s="40" t="s">
        <v>53</v>
      </c>
      <c r="E35" s="441"/>
      <c r="F35" s="415">
        <v>208</v>
      </c>
      <c r="G35" s="415">
        <v>205</v>
      </c>
      <c r="H35" s="415">
        <v>197</v>
      </c>
      <c r="I35" s="414"/>
      <c r="J35" s="432">
        <v>190</v>
      </c>
      <c r="K35" s="415">
        <v>187</v>
      </c>
      <c r="L35" s="415">
        <v>182</v>
      </c>
      <c r="M35" s="415">
        <v>179</v>
      </c>
      <c r="N35" s="414"/>
      <c r="O35" s="432">
        <v>167</v>
      </c>
      <c r="P35" s="415" t="s">
        <v>28</v>
      </c>
      <c r="Q35" s="415" t="s">
        <v>28</v>
      </c>
      <c r="R35" s="415" t="s">
        <v>28</v>
      </c>
      <c r="T35" s="415" t="s">
        <v>28</v>
      </c>
      <c r="U35" s="415" t="s">
        <v>28</v>
      </c>
      <c r="V35" s="415" t="s">
        <v>28</v>
      </c>
      <c r="W35" s="415" t="s">
        <v>28</v>
      </c>
      <c r="Y35" s="415" t="s">
        <v>28</v>
      </c>
      <c r="Z35" s="415" t="s">
        <v>28</v>
      </c>
      <c r="AA35" s="415" t="s">
        <v>28</v>
      </c>
      <c r="AB35" s="415" t="s">
        <v>28</v>
      </c>
      <c r="AD35" s="415"/>
      <c r="AE35" s="415"/>
      <c r="AF35" s="496" t="s">
        <v>28</v>
      </c>
      <c r="AG35" s="415">
        <v>0</v>
      </c>
      <c r="AI35" s="415">
        <v>0</v>
      </c>
      <c r="AJ35" s="415">
        <v>0</v>
      </c>
      <c r="AK35" s="415">
        <v>0</v>
      </c>
      <c r="AL35" s="415">
        <v>0</v>
      </c>
      <c r="AN35" s="415">
        <v>0</v>
      </c>
      <c r="AO35" s="415">
        <v>0</v>
      </c>
      <c r="AP35" s="415">
        <v>0</v>
      </c>
      <c r="AQ35" s="415"/>
    </row>
    <row r="36" spans="1:43" ht="22.35" customHeight="1" outlineLevel="3">
      <c r="A36" s="603"/>
      <c r="B36" s="602"/>
      <c r="C36" s="42" t="s">
        <v>54</v>
      </c>
      <c r="D36" s="40" t="s">
        <v>54</v>
      </c>
      <c r="E36" s="432" t="s">
        <v>28</v>
      </c>
      <c r="F36" s="432" t="s">
        <v>28</v>
      </c>
      <c r="G36" s="432" t="s">
        <v>28</v>
      </c>
      <c r="H36" s="432">
        <v>72</v>
      </c>
      <c r="I36" s="414"/>
      <c r="J36" s="432">
        <v>72</v>
      </c>
      <c r="K36" s="415">
        <v>72</v>
      </c>
      <c r="L36" s="415">
        <v>66</v>
      </c>
      <c r="M36" s="415">
        <v>59</v>
      </c>
      <c r="N36" s="414"/>
      <c r="O36" s="432">
        <v>44</v>
      </c>
      <c r="P36" s="415">
        <v>40</v>
      </c>
      <c r="Q36" s="415">
        <v>37</v>
      </c>
      <c r="R36" s="415">
        <v>36</v>
      </c>
      <c r="T36" s="415">
        <v>42</v>
      </c>
      <c r="U36" s="415">
        <v>38</v>
      </c>
      <c r="V36" s="415">
        <v>37</v>
      </c>
      <c r="W36" s="415">
        <v>16</v>
      </c>
      <c r="Y36" s="415">
        <v>9</v>
      </c>
      <c r="Z36" s="415">
        <v>1</v>
      </c>
      <c r="AA36" s="415" t="s">
        <v>28</v>
      </c>
      <c r="AB36" s="415" t="s">
        <v>28</v>
      </c>
      <c r="AD36" s="415"/>
      <c r="AE36" s="415"/>
      <c r="AF36" s="496"/>
      <c r="AG36" s="415">
        <v>0</v>
      </c>
      <c r="AI36" s="415">
        <v>0</v>
      </c>
      <c r="AJ36" s="415">
        <v>0</v>
      </c>
      <c r="AK36" s="415">
        <v>0</v>
      </c>
      <c r="AL36" s="415">
        <v>0</v>
      </c>
      <c r="AN36" s="415">
        <v>0</v>
      </c>
      <c r="AO36" s="415">
        <v>0</v>
      </c>
      <c r="AP36" s="415">
        <v>0</v>
      </c>
      <c r="AQ36" s="415"/>
    </row>
    <row r="37" spans="1:43" ht="35.4" customHeight="1" thickBot="1">
      <c r="A37" s="603"/>
      <c r="C37" s="442" t="s">
        <v>55</v>
      </c>
      <c r="D37" s="443" t="s">
        <v>56</v>
      </c>
      <c r="E37" s="149">
        <f>SUM(E31:E36)+E18+E30</f>
        <v>803</v>
      </c>
      <c r="F37" s="150">
        <f>SUM(F31:F36)+F18+F30</f>
        <v>1085</v>
      </c>
      <c r="G37" s="150">
        <f>SUM(G31:G36)+G18+G30</f>
        <v>1102</v>
      </c>
      <c r="H37" s="150">
        <f>SUM(H31:H36)+H18+H30</f>
        <v>1197</v>
      </c>
      <c r="I37" s="138"/>
      <c r="J37" s="146">
        <f>J18+SUM(J30:J36)</f>
        <v>1196</v>
      </c>
      <c r="K37" s="146">
        <f>K18+SUM(K30:K36)</f>
        <v>1213</v>
      </c>
      <c r="L37" s="146">
        <f>L18+SUM(L30:L36)</f>
        <v>1219</v>
      </c>
      <c r="M37" s="146">
        <f>M18+SUM(M30:M36)</f>
        <v>1242</v>
      </c>
      <c r="N37" s="138"/>
      <c r="O37" s="146">
        <f>O18+SUM(O30:O36)</f>
        <v>1211</v>
      </c>
      <c r="P37" s="146">
        <f>P18+SUM(P30:P36)</f>
        <v>1045</v>
      </c>
      <c r="Q37" s="146">
        <f>Q18+SUM(Q30:Q36)</f>
        <v>1053</v>
      </c>
      <c r="R37" s="146">
        <f>R18+SUM(R30:R36)</f>
        <v>1060</v>
      </c>
      <c r="S37" s="139"/>
      <c r="T37" s="146">
        <f>T18+SUM(T30:T36)</f>
        <v>1040</v>
      </c>
      <c r="U37" s="146">
        <f>U18+SUM(U30:U36)</f>
        <v>1042</v>
      </c>
      <c r="V37" s="146">
        <f>V18+SUM(V30:V36)</f>
        <v>1062</v>
      </c>
      <c r="W37" s="146">
        <f>W18+SUM(W30:W36)</f>
        <v>1025</v>
      </c>
      <c r="X37" s="139"/>
      <c r="Y37" s="146">
        <f>Y18+SUM(Y30:Y36)</f>
        <v>1003</v>
      </c>
      <c r="Z37" s="146">
        <f>Z18+Z30+Z31+Z32+Z36</f>
        <v>991</v>
      </c>
      <c r="AA37" s="146">
        <f>AA18+AA30+AA31+AA32</f>
        <v>977</v>
      </c>
      <c r="AB37" s="146">
        <f>AB18+AB30+AB31+AB32</f>
        <v>972</v>
      </c>
      <c r="AC37" s="139"/>
      <c r="AD37" s="146">
        <f>AD18+AD30+AD31+AD32</f>
        <v>950</v>
      </c>
      <c r="AE37" s="146">
        <v>960</v>
      </c>
      <c r="AF37" s="146">
        <f>AF18+AF30+AF31+AF32</f>
        <v>975</v>
      </c>
      <c r="AG37" s="146">
        <v>979</v>
      </c>
      <c r="AI37" s="146">
        <f>AI18+AI30+AI31+AI32</f>
        <v>992</v>
      </c>
      <c r="AJ37" s="146">
        <f>AJ18+AJ30+AJ31+AJ32</f>
        <v>987</v>
      </c>
      <c r="AK37" s="146">
        <f>AK18+AK30+AK31+AK32</f>
        <v>993</v>
      </c>
      <c r="AL37" s="146">
        <f>AL18+AL30+AL31+AL32</f>
        <v>979</v>
      </c>
      <c r="AN37" s="146">
        <f>AN18+AN30+AN31+AN32</f>
        <v>988</v>
      </c>
      <c r="AO37" s="146">
        <f>AO18+AO30+AO31+AO32+AO33</f>
        <v>1002</v>
      </c>
      <c r="AP37" s="146">
        <f>AP18+AP30+AP31+AP32+AP33+AP34</f>
        <v>1018</v>
      </c>
      <c r="AQ37" s="146"/>
    </row>
    <row r="38" spans="1:43" ht="36.6" customHeight="1" thickTop="1" thickBot="1">
      <c r="A38" s="63"/>
      <c r="C38" s="444" t="s">
        <v>57</v>
      </c>
      <c r="D38" s="444" t="s">
        <v>58</v>
      </c>
      <c r="E38" s="140">
        <v>16</v>
      </c>
      <c r="F38" s="141">
        <v>17</v>
      </c>
      <c r="G38" s="141">
        <v>17</v>
      </c>
      <c r="H38" s="141">
        <v>17</v>
      </c>
      <c r="I38" s="142"/>
      <c r="J38" s="141">
        <v>17</v>
      </c>
      <c r="K38" s="141">
        <v>20</v>
      </c>
      <c r="L38" s="141">
        <v>23</v>
      </c>
      <c r="M38" s="141">
        <v>23</v>
      </c>
      <c r="N38" s="143"/>
      <c r="O38" s="141">
        <v>23</v>
      </c>
      <c r="P38" s="141">
        <v>22</v>
      </c>
      <c r="Q38" s="141">
        <v>22</v>
      </c>
      <c r="R38" s="141">
        <v>22</v>
      </c>
      <c r="S38" s="139"/>
      <c r="T38" s="141">
        <v>22</v>
      </c>
      <c r="U38" s="141">
        <v>22</v>
      </c>
      <c r="V38" s="141">
        <v>22</v>
      </c>
      <c r="W38" s="141">
        <v>22</v>
      </c>
      <c r="X38" s="139"/>
      <c r="Y38" s="141">
        <v>22</v>
      </c>
      <c r="Z38" s="141">
        <v>22</v>
      </c>
      <c r="AA38" s="141">
        <v>22</v>
      </c>
      <c r="AB38" s="141">
        <v>22</v>
      </c>
      <c r="AC38" s="139"/>
      <c r="AD38" s="141">
        <v>22</v>
      </c>
      <c r="AE38" s="141">
        <v>22</v>
      </c>
      <c r="AF38" s="141">
        <v>22</v>
      </c>
      <c r="AG38" s="141">
        <v>22</v>
      </c>
      <c r="AI38" s="141">
        <v>22</v>
      </c>
      <c r="AJ38" s="141">
        <v>22</v>
      </c>
      <c r="AK38" s="141">
        <v>22</v>
      </c>
      <c r="AL38" s="141">
        <v>23</v>
      </c>
      <c r="AN38" s="141">
        <v>23</v>
      </c>
      <c r="AO38" s="141">
        <v>23</v>
      </c>
      <c r="AP38" s="141">
        <v>23</v>
      </c>
      <c r="AQ38" s="141"/>
    </row>
    <row r="39" spans="1:43" ht="36.6" customHeight="1" thickTop="1">
      <c r="A39" s="63"/>
      <c r="C39" s="445" t="s">
        <v>59</v>
      </c>
      <c r="D39" s="445" t="s">
        <v>60</v>
      </c>
      <c r="E39" s="125"/>
      <c r="F39" s="125"/>
      <c r="G39" s="125"/>
      <c r="H39" s="125"/>
      <c r="I39" s="126"/>
      <c r="J39" s="125"/>
      <c r="K39" s="125"/>
      <c r="L39" s="125"/>
      <c r="M39" s="125"/>
      <c r="N39" s="126"/>
      <c r="O39" s="125"/>
      <c r="P39" s="125">
        <v>162</v>
      </c>
      <c r="Q39" s="125">
        <v>156</v>
      </c>
      <c r="R39" s="125">
        <v>135</v>
      </c>
      <c r="S39" s="127"/>
      <c r="T39" s="125">
        <v>167</v>
      </c>
      <c r="U39" s="125">
        <v>162</v>
      </c>
      <c r="V39" s="125">
        <v>150</v>
      </c>
      <c r="W39" s="125">
        <v>131</v>
      </c>
      <c r="X39" s="127"/>
      <c r="Y39" s="125">
        <v>127</v>
      </c>
      <c r="Z39" s="125">
        <v>109</v>
      </c>
      <c r="AA39" s="125" t="s">
        <v>28</v>
      </c>
      <c r="AB39" s="125" t="s">
        <v>28</v>
      </c>
      <c r="AC39" s="127"/>
      <c r="AD39" s="125"/>
      <c r="AE39" s="125"/>
      <c r="AF39" s="497" t="s">
        <v>28</v>
      </c>
      <c r="AG39" s="125" t="s">
        <v>28</v>
      </c>
      <c r="AI39" s="125"/>
      <c r="AJ39" s="125"/>
      <c r="AK39" s="497" t="s">
        <v>28</v>
      </c>
      <c r="AL39" s="125" t="s">
        <v>28</v>
      </c>
    </row>
    <row r="40" spans="1:43">
      <c r="F40" s="4"/>
      <c r="G40" s="4"/>
      <c r="H40" s="4"/>
      <c r="I40" s="5"/>
      <c r="N40" s="5"/>
      <c r="S40" s="5"/>
      <c r="X40" s="5"/>
      <c r="AC40" s="5"/>
      <c r="AF40" s="498"/>
      <c r="AK40" s="498"/>
    </row>
    <row r="41" spans="1:43">
      <c r="F41" s="4"/>
      <c r="G41" s="4"/>
      <c r="H41" s="4"/>
      <c r="I41" s="5"/>
      <c r="N41" s="5"/>
      <c r="S41" s="5"/>
      <c r="X41" s="5"/>
      <c r="AC41" s="5"/>
      <c r="AF41" s="498"/>
      <c r="AK41" s="498"/>
    </row>
    <row r="42" spans="1:43" ht="15" thickBot="1">
      <c r="C42" s="130" t="s">
        <v>61</v>
      </c>
      <c r="D42" s="130" t="s">
        <v>62</v>
      </c>
      <c r="E42" s="132" t="s">
        <v>63</v>
      </c>
      <c r="F42" s="132" t="s">
        <v>3</v>
      </c>
      <c r="G42" s="132" t="s">
        <v>4</v>
      </c>
      <c r="H42" s="132" t="s">
        <v>5</v>
      </c>
      <c r="I42" s="144"/>
      <c r="J42" s="132" t="s">
        <v>6</v>
      </c>
      <c r="K42" s="131">
        <v>44012</v>
      </c>
      <c r="L42" s="131">
        <v>43738</v>
      </c>
      <c r="M42" s="131">
        <v>43830</v>
      </c>
      <c r="N42" s="144"/>
      <c r="O42" s="131">
        <v>43921</v>
      </c>
      <c r="P42" s="131">
        <v>44012</v>
      </c>
      <c r="Q42" s="131">
        <v>44104</v>
      </c>
      <c r="R42" s="131">
        <v>44196</v>
      </c>
      <c r="S42" s="5"/>
      <c r="T42" s="131">
        <v>43951</v>
      </c>
      <c r="U42" s="131">
        <v>44043</v>
      </c>
      <c r="V42" s="131">
        <v>44135</v>
      </c>
      <c r="W42" s="131">
        <v>44227</v>
      </c>
      <c r="X42" s="5"/>
      <c r="Y42" s="131">
        <v>43951</v>
      </c>
      <c r="Z42" s="131">
        <f>Z2</f>
        <v>44408</v>
      </c>
      <c r="AA42" s="131">
        <f>AA2</f>
        <v>44500</v>
      </c>
      <c r="AB42" s="136">
        <v>44592</v>
      </c>
      <c r="AC42" s="5"/>
      <c r="AD42" s="131">
        <f>AD2</f>
        <v>44681</v>
      </c>
      <c r="AE42" s="131">
        <f>AE2</f>
        <v>44773</v>
      </c>
      <c r="AF42" s="131">
        <f>AF2</f>
        <v>44865</v>
      </c>
      <c r="AG42" s="131">
        <f>AG2</f>
        <v>44957</v>
      </c>
      <c r="AI42" s="131">
        <f>AI2</f>
        <v>45046</v>
      </c>
      <c r="AJ42" s="131">
        <f>AJ2</f>
        <v>45138</v>
      </c>
      <c r="AK42" s="131">
        <f>AK2</f>
        <v>45230</v>
      </c>
      <c r="AL42" s="131">
        <f>AL2</f>
        <v>45322</v>
      </c>
      <c r="AN42" s="131">
        <v>45412</v>
      </c>
      <c r="AO42" s="131">
        <v>45504</v>
      </c>
      <c r="AP42" s="131">
        <v>45596</v>
      </c>
      <c r="AQ42" s="131">
        <v>45688</v>
      </c>
    </row>
    <row r="43" spans="1:43" ht="23.1" customHeight="1" outlineLevel="2" thickTop="1">
      <c r="A43" s="603" t="s">
        <v>272</v>
      </c>
      <c r="B43" s="601" t="s">
        <v>7</v>
      </c>
      <c r="C43" s="42" t="s">
        <v>8</v>
      </c>
      <c r="D43" s="44" t="s">
        <v>9</v>
      </c>
      <c r="E43" s="46">
        <v>252293</v>
      </c>
      <c r="F43" s="46">
        <v>268063</v>
      </c>
      <c r="G43" s="46">
        <v>273867</v>
      </c>
      <c r="H43" s="46">
        <v>285782</v>
      </c>
      <c r="I43" s="446"/>
      <c r="J43" s="47">
        <v>288575</v>
      </c>
      <c r="K43" s="46">
        <v>299184</v>
      </c>
      <c r="L43" s="45">
        <v>305476</v>
      </c>
      <c r="M43" s="467">
        <v>312275</v>
      </c>
      <c r="N43" s="446"/>
      <c r="O43" s="47">
        <v>310754.54003000015</v>
      </c>
      <c r="P43" s="46">
        <v>313748.3600300001</v>
      </c>
      <c r="Q43" s="45">
        <v>315109.72003000014</v>
      </c>
      <c r="R43" s="47">
        <v>312538.65003000014</v>
      </c>
      <c r="S43" s="5"/>
      <c r="T43" s="47">
        <v>310498</v>
      </c>
      <c r="U43" s="47">
        <v>314304</v>
      </c>
      <c r="V43" s="47">
        <v>313760</v>
      </c>
      <c r="W43" s="47">
        <v>309493</v>
      </c>
      <c r="X43" s="5"/>
      <c r="Y43" s="47">
        <v>300174.77003000019</v>
      </c>
      <c r="Z43" s="47">
        <v>294323.80003000022</v>
      </c>
      <c r="AA43" s="47">
        <v>287198</v>
      </c>
      <c r="AB43" s="47">
        <v>278752.05003000022</v>
      </c>
      <c r="AC43" s="5"/>
      <c r="AD43" s="47">
        <v>281086.46003000025</v>
      </c>
      <c r="AE43" s="47">
        <v>282829</v>
      </c>
      <c r="AF43" s="47">
        <v>284629.37003000034</v>
      </c>
      <c r="AG43" s="47">
        <v>281929</v>
      </c>
      <c r="AI43" s="47">
        <v>280600</v>
      </c>
      <c r="AJ43" s="47">
        <v>280020</v>
      </c>
      <c r="AK43" s="47">
        <v>279987</v>
      </c>
      <c r="AL43" s="47">
        <v>279641</v>
      </c>
      <c r="AN43" s="47">
        <v>285820</v>
      </c>
      <c r="AO43" s="47">
        <v>286209</v>
      </c>
      <c r="AP43" s="47">
        <v>290986</v>
      </c>
      <c r="AQ43" s="47"/>
    </row>
    <row r="44" spans="1:43" ht="23.1" customHeight="1" outlineLevel="2">
      <c r="A44" s="603"/>
      <c r="B44" s="604"/>
      <c r="C44" s="42" t="s">
        <v>10</v>
      </c>
      <c r="D44" s="41" t="s">
        <v>11</v>
      </c>
      <c r="E44" s="46">
        <v>44589</v>
      </c>
      <c r="F44" s="46">
        <v>44989</v>
      </c>
      <c r="G44" s="46">
        <v>46827</v>
      </c>
      <c r="H44" s="46">
        <v>51497</v>
      </c>
      <c r="I44" s="447"/>
      <c r="J44" s="47">
        <v>51953</v>
      </c>
      <c r="K44" s="46">
        <v>53215</v>
      </c>
      <c r="L44" s="45">
        <v>53937</v>
      </c>
      <c r="M44" s="53">
        <v>56721</v>
      </c>
      <c r="N44" s="447"/>
      <c r="O44" s="47">
        <v>55512.56</v>
      </c>
      <c r="P44" s="46">
        <v>54664.56</v>
      </c>
      <c r="Q44" s="45">
        <v>54164.56</v>
      </c>
      <c r="R44" s="47">
        <v>54442.559999999998</v>
      </c>
      <c r="S44" s="5"/>
      <c r="T44" s="47">
        <v>55513</v>
      </c>
      <c r="U44" s="47">
        <v>54165</v>
      </c>
      <c r="V44" s="47">
        <v>54443</v>
      </c>
      <c r="W44" s="47">
        <v>53988</v>
      </c>
      <c r="X44" s="5"/>
      <c r="Y44" s="47">
        <v>53875.46</v>
      </c>
      <c r="Z44" s="47">
        <v>53097</v>
      </c>
      <c r="AA44" s="47">
        <v>53582</v>
      </c>
      <c r="AB44" s="47">
        <v>53263.75</v>
      </c>
      <c r="AC44" s="5"/>
      <c r="AD44" s="47">
        <v>52385.51</v>
      </c>
      <c r="AE44" s="47">
        <v>50046</v>
      </c>
      <c r="AF44" s="47">
        <v>50046.21</v>
      </c>
      <c r="AG44" s="47">
        <v>48507</v>
      </c>
      <c r="AI44" s="47">
        <v>48507</v>
      </c>
      <c r="AJ44" s="47">
        <v>48064</v>
      </c>
      <c r="AK44" s="47">
        <v>47959</v>
      </c>
      <c r="AL44" s="47">
        <v>47311.000000000007</v>
      </c>
      <c r="AN44" s="47">
        <v>45099</v>
      </c>
      <c r="AO44" s="47">
        <v>45099.000000000007</v>
      </c>
      <c r="AP44" s="47">
        <v>44162.000000000007</v>
      </c>
      <c r="AQ44" s="47"/>
    </row>
    <row r="45" spans="1:43" ht="23.1" customHeight="1" outlineLevel="2">
      <c r="A45" s="603"/>
      <c r="B45" s="604"/>
      <c r="C45" s="42" t="s">
        <v>12</v>
      </c>
      <c r="D45" s="41" t="s">
        <v>13</v>
      </c>
      <c r="E45" s="46">
        <v>46148</v>
      </c>
      <c r="F45" s="46">
        <v>47620</v>
      </c>
      <c r="G45" s="46">
        <v>51036</v>
      </c>
      <c r="H45" s="46">
        <v>51843</v>
      </c>
      <c r="I45" s="448"/>
      <c r="J45" s="47">
        <v>51945</v>
      </c>
      <c r="K45" s="46">
        <v>51835</v>
      </c>
      <c r="L45" s="45">
        <v>52898</v>
      </c>
      <c r="M45" s="53">
        <v>57197</v>
      </c>
      <c r="N45" s="448"/>
      <c r="O45" s="47">
        <v>56896.219999999994</v>
      </c>
      <c r="P45" s="46">
        <v>56473.219999999994</v>
      </c>
      <c r="Q45" s="45">
        <v>56725.979999999996</v>
      </c>
      <c r="R45" s="47">
        <v>57536.979999999996</v>
      </c>
      <c r="S45" s="5"/>
      <c r="T45" s="47">
        <v>56896</v>
      </c>
      <c r="U45" s="47">
        <v>56726</v>
      </c>
      <c r="V45" s="47">
        <v>57303</v>
      </c>
      <c r="W45" s="47">
        <v>57297</v>
      </c>
      <c r="X45" s="5"/>
      <c r="Y45" s="47">
        <v>57296.979999999996</v>
      </c>
      <c r="Z45" s="47">
        <v>54513</v>
      </c>
      <c r="AA45" s="47">
        <v>54980</v>
      </c>
      <c r="AB45" s="47">
        <v>54035.089999999989</v>
      </c>
      <c r="AC45" s="5"/>
      <c r="AD45" s="47">
        <v>54035.089999999989</v>
      </c>
      <c r="AE45" s="47">
        <v>52851</v>
      </c>
      <c r="AF45" s="47">
        <v>53451.489999999991</v>
      </c>
      <c r="AG45" s="47">
        <v>53543</v>
      </c>
      <c r="AI45" s="47">
        <v>53998.999999999993</v>
      </c>
      <c r="AJ45" s="47">
        <v>51219</v>
      </c>
      <c r="AK45" s="47">
        <v>48191</v>
      </c>
      <c r="AL45" s="47">
        <v>45602</v>
      </c>
      <c r="AN45" s="47">
        <v>44498</v>
      </c>
      <c r="AO45" s="47">
        <v>43649</v>
      </c>
      <c r="AP45" s="47">
        <v>43531</v>
      </c>
      <c r="AQ45" s="47"/>
    </row>
    <row r="46" spans="1:43" ht="23.1" customHeight="1" outlineLevel="2">
      <c r="A46" s="603"/>
      <c r="B46" s="604"/>
      <c r="C46" s="42" t="s">
        <v>14</v>
      </c>
      <c r="D46" s="41" t="s">
        <v>14</v>
      </c>
      <c r="E46" s="46">
        <v>27908</v>
      </c>
      <c r="F46" s="46">
        <v>28351</v>
      </c>
      <c r="G46" s="46">
        <v>30239</v>
      </c>
      <c r="H46" s="46">
        <v>30378</v>
      </c>
      <c r="I46" s="446"/>
      <c r="J46" s="47">
        <v>30268</v>
      </c>
      <c r="K46" s="46">
        <v>30368</v>
      </c>
      <c r="L46" s="45">
        <v>31510</v>
      </c>
      <c r="M46" s="53">
        <v>32410</v>
      </c>
      <c r="N46" s="446"/>
      <c r="O46" s="47">
        <v>32014.25</v>
      </c>
      <c r="P46" s="46">
        <v>32014.25</v>
      </c>
      <c r="Q46" s="45">
        <v>33108.400000000001</v>
      </c>
      <c r="R46" s="47">
        <v>33373.21</v>
      </c>
      <c r="S46" s="5"/>
      <c r="T46" s="47">
        <v>32014</v>
      </c>
      <c r="U46" s="47">
        <v>31562</v>
      </c>
      <c r="V46" s="47">
        <v>35289</v>
      </c>
      <c r="W46" s="47">
        <v>33373</v>
      </c>
      <c r="X46" s="5"/>
      <c r="Y46" s="47">
        <v>31907.21</v>
      </c>
      <c r="Z46" s="47">
        <v>20119</v>
      </c>
      <c r="AA46" s="47">
        <v>5064</v>
      </c>
      <c r="AB46" s="147" t="s">
        <v>28</v>
      </c>
      <c r="AC46" s="5"/>
      <c r="AD46" s="471" t="s">
        <v>28</v>
      </c>
      <c r="AE46" s="471" t="s">
        <v>28</v>
      </c>
      <c r="AF46" s="471" t="s">
        <v>28</v>
      </c>
      <c r="AG46" s="147">
        <v>0</v>
      </c>
      <c r="AI46" s="471">
        <v>0</v>
      </c>
      <c r="AJ46" s="471">
        <v>0</v>
      </c>
      <c r="AK46" s="471">
        <v>0</v>
      </c>
      <c r="AL46" s="147">
        <v>0</v>
      </c>
      <c r="AN46" s="471">
        <v>0</v>
      </c>
      <c r="AO46" s="471">
        <v>0</v>
      </c>
      <c r="AP46" s="471">
        <v>0</v>
      </c>
      <c r="AQ46" s="147"/>
    </row>
    <row r="47" spans="1:43" ht="23.1" customHeight="1" outlineLevel="2">
      <c r="A47" s="603"/>
      <c r="B47" s="604"/>
      <c r="C47" s="42" t="s">
        <v>15</v>
      </c>
      <c r="D47" s="41" t="s">
        <v>16</v>
      </c>
      <c r="E47" s="46">
        <v>29546</v>
      </c>
      <c r="F47" s="46">
        <v>29581</v>
      </c>
      <c r="G47" s="46">
        <v>30566</v>
      </c>
      <c r="H47" s="46">
        <v>31500</v>
      </c>
      <c r="I47" s="446"/>
      <c r="J47" s="47">
        <v>32170</v>
      </c>
      <c r="K47" s="46">
        <v>33702</v>
      </c>
      <c r="L47" s="45">
        <v>33702</v>
      </c>
      <c r="M47" s="53">
        <v>33702</v>
      </c>
      <c r="N47" s="446"/>
      <c r="O47" s="47">
        <v>33373.199999999997</v>
      </c>
      <c r="P47" s="46">
        <v>34148.449999999997</v>
      </c>
      <c r="Q47" s="45">
        <v>34148.449999999997</v>
      </c>
      <c r="R47" s="47">
        <v>35085.449999999997</v>
      </c>
      <c r="S47" s="5"/>
      <c r="T47" s="47">
        <v>33373</v>
      </c>
      <c r="U47" s="47">
        <v>34148</v>
      </c>
      <c r="V47" s="47">
        <v>35537</v>
      </c>
      <c r="W47" s="47">
        <v>35628</v>
      </c>
      <c r="X47" s="5"/>
      <c r="Y47" s="47">
        <v>36404.449999999997</v>
      </c>
      <c r="Z47" s="47">
        <v>34856</v>
      </c>
      <c r="AA47" s="47">
        <v>36198</v>
      </c>
      <c r="AB47" s="47">
        <v>34896.449999999997</v>
      </c>
      <c r="AC47" s="5"/>
      <c r="AD47" s="47">
        <v>34245.949999999997</v>
      </c>
      <c r="AE47" s="47">
        <v>34338</v>
      </c>
      <c r="AF47" s="47">
        <v>33182.799999999996</v>
      </c>
      <c r="AG47" s="47">
        <v>32628</v>
      </c>
      <c r="AI47" s="47">
        <v>32183</v>
      </c>
      <c r="AJ47" s="47">
        <v>31569</v>
      </c>
      <c r="AK47" s="47">
        <v>31569</v>
      </c>
      <c r="AL47" s="47">
        <v>30584</v>
      </c>
      <c r="AN47" s="47">
        <v>29559</v>
      </c>
      <c r="AO47" s="47">
        <v>29559</v>
      </c>
      <c r="AP47" s="47">
        <v>29559</v>
      </c>
      <c r="AQ47" s="47"/>
    </row>
    <row r="48" spans="1:43" ht="23.1" customHeight="1" outlineLevel="2">
      <c r="A48" s="603"/>
      <c r="B48" s="604"/>
      <c r="C48" s="42" t="s">
        <v>17</v>
      </c>
      <c r="D48" s="41" t="s">
        <v>18</v>
      </c>
      <c r="E48" s="46">
        <v>14018</v>
      </c>
      <c r="F48" s="46">
        <v>14018</v>
      </c>
      <c r="G48" s="46">
        <v>14018</v>
      </c>
      <c r="H48" s="46">
        <v>16061</v>
      </c>
      <c r="I48" s="447"/>
      <c r="J48" s="47">
        <v>16061</v>
      </c>
      <c r="K48" s="46">
        <v>17884</v>
      </c>
      <c r="L48" s="45">
        <v>18667</v>
      </c>
      <c r="M48" s="53">
        <v>19811</v>
      </c>
      <c r="N48" s="447"/>
      <c r="O48" s="47">
        <v>19811</v>
      </c>
      <c r="P48" s="46">
        <v>20602</v>
      </c>
      <c r="Q48" s="45">
        <v>21115</v>
      </c>
      <c r="R48" s="47">
        <v>20800</v>
      </c>
      <c r="S48" s="5"/>
      <c r="T48" s="47">
        <v>19811</v>
      </c>
      <c r="U48" s="47">
        <v>20602</v>
      </c>
      <c r="V48" s="47">
        <v>21115</v>
      </c>
      <c r="W48" s="47">
        <v>20800</v>
      </c>
      <c r="X48" s="5"/>
      <c r="Y48" s="47">
        <v>20287</v>
      </c>
      <c r="Z48" s="47">
        <v>20287</v>
      </c>
      <c r="AA48" s="47">
        <v>21525</v>
      </c>
      <c r="AB48" s="47">
        <v>21015.43</v>
      </c>
      <c r="AC48" s="5"/>
      <c r="AD48" s="47">
        <v>21015.43</v>
      </c>
      <c r="AE48" s="47">
        <v>21197</v>
      </c>
      <c r="AF48" s="47">
        <v>20624.43</v>
      </c>
      <c r="AG48" s="47">
        <v>20624</v>
      </c>
      <c r="AI48" s="47">
        <v>20624</v>
      </c>
      <c r="AJ48" s="47">
        <v>19342</v>
      </c>
      <c r="AK48" s="47">
        <v>18696</v>
      </c>
      <c r="AL48" s="47">
        <v>18125</v>
      </c>
      <c r="AN48" s="47">
        <v>18125</v>
      </c>
      <c r="AO48" s="47">
        <v>18125</v>
      </c>
      <c r="AP48" s="47">
        <v>18219</v>
      </c>
      <c r="AQ48" s="47"/>
    </row>
    <row r="49" spans="1:43" ht="23.1" customHeight="1" outlineLevel="2">
      <c r="A49" s="603"/>
      <c r="B49" s="604"/>
      <c r="C49" s="42" t="s">
        <v>19</v>
      </c>
      <c r="D49" s="41" t="s">
        <v>20</v>
      </c>
      <c r="E49" s="46">
        <v>16675</v>
      </c>
      <c r="F49" s="46">
        <v>18168</v>
      </c>
      <c r="G49" s="46">
        <v>20655</v>
      </c>
      <c r="H49" s="46">
        <v>28041</v>
      </c>
      <c r="I49" s="446"/>
      <c r="J49" s="47">
        <v>29925</v>
      </c>
      <c r="K49" s="46">
        <v>31683</v>
      </c>
      <c r="L49" s="45">
        <v>32663</v>
      </c>
      <c r="M49" s="53">
        <v>34212</v>
      </c>
      <c r="N49" s="446"/>
      <c r="O49" s="47">
        <v>34549.549999999996</v>
      </c>
      <c r="P49" s="46">
        <v>34371.549999999996</v>
      </c>
      <c r="Q49" s="45">
        <v>32295.519999999993</v>
      </c>
      <c r="R49" s="47">
        <v>34091.519999999997</v>
      </c>
      <c r="S49" s="5"/>
      <c r="T49" s="47">
        <v>34550</v>
      </c>
      <c r="U49" s="47">
        <v>33366</v>
      </c>
      <c r="V49" s="47">
        <v>32296</v>
      </c>
      <c r="W49" s="47">
        <v>31878</v>
      </c>
      <c r="X49" s="5"/>
      <c r="Y49" s="47">
        <v>29629.419999999991</v>
      </c>
      <c r="Z49" s="47">
        <v>27996</v>
      </c>
      <c r="AA49" s="47">
        <v>27391</v>
      </c>
      <c r="AB49" s="47">
        <v>27674.819999999992</v>
      </c>
      <c r="AC49" s="5"/>
      <c r="AD49" s="471" t="s">
        <v>28</v>
      </c>
      <c r="AE49" s="471" t="s">
        <v>28</v>
      </c>
      <c r="AF49" s="471" t="s">
        <v>28</v>
      </c>
      <c r="AG49" s="47">
        <v>0</v>
      </c>
      <c r="AI49" s="471">
        <v>0</v>
      </c>
      <c r="AJ49" s="471">
        <v>0</v>
      </c>
      <c r="AK49" s="471">
        <v>0</v>
      </c>
      <c r="AL49" s="47">
        <v>0</v>
      </c>
      <c r="AN49" s="471">
        <v>0</v>
      </c>
      <c r="AO49" s="471">
        <v>0</v>
      </c>
      <c r="AP49" s="471">
        <v>0</v>
      </c>
      <c r="AQ49" s="47"/>
    </row>
    <row r="50" spans="1:43" ht="23.1" customHeight="1" outlineLevel="2">
      <c r="A50" s="603"/>
      <c r="B50" s="604"/>
      <c r="C50" s="42" t="s">
        <v>21</v>
      </c>
      <c r="D50" s="41" t="s">
        <v>22</v>
      </c>
      <c r="E50" s="46">
        <v>7687</v>
      </c>
      <c r="F50" s="46">
        <v>7687</v>
      </c>
      <c r="G50" s="46">
        <v>8528</v>
      </c>
      <c r="H50" s="46">
        <v>8528</v>
      </c>
      <c r="I50" s="448"/>
      <c r="J50" s="47">
        <v>8528</v>
      </c>
      <c r="K50" s="46">
        <v>10900</v>
      </c>
      <c r="L50" s="45">
        <v>11484</v>
      </c>
      <c r="M50" s="53">
        <v>14508</v>
      </c>
      <c r="N50" s="448"/>
      <c r="O50" s="47">
        <v>14508</v>
      </c>
      <c r="P50" s="46">
        <v>14508</v>
      </c>
      <c r="Q50" s="45">
        <v>14828.84</v>
      </c>
      <c r="R50" s="47">
        <v>17012.84</v>
      </c>
      <c r="S50" s="5"/>
      <c r="T50" s="47">
        <v>14508</v>
      </c>
      <c r="U50" s="47">
        <v>14508</v>
      </c>
      <c r="V50" s="47">
        <v>17013</v>
      </c>
      <c r="W50" s="47">
        <v>17013</v>
      </c>
      <c r="X50" s="5"/>
      <c r="Y50" s="47">
        <v>14508</v>
      </c>
      <c r="Z50" s="47">
        <v>14508</v>
      </c>
      <c r="AA50" s="47">
        <v>13830</v>
      </c>
      <c r="AB50" s="47">
        <v>13830</v>
      </c>
      <c r="AC50" s="5"/>
      <c r="AD50" s="47">
        <v>12597.57</v>
      </c>
      <c r="AE50" s="47">
        <v>12589</v>
      </c>
      <c r="AF50" s="47">
        <v>12588.87</v>
      </c>
      <c r="AG50" s="47">
        <v>3515</v>
      </c>
      <c r="AI50" s="47">
        <v>11295</v>
      </c>
      <c r="AJ50" s="47">
        <v>11295</v>
      </c>
      <c r="AK50" s="47">
        <v>10396</v>
      </c>
      <c r="AL50" s="47">
        <v>9697</v>
      </c>
      <c r="AN50" s="47">
        <v>9697</v>
      </c>
      <c r="AO50" s="47">
        <v>9697</v>
      </c>
      <c r="AP50" s="47">
        <v>9697</v>
      </c>
      <c r="AQ50" s="47"/>
    </row>
    <row r="51" spans="1:43" ht="23.1" customHeight="1" outlineLevel="2">
      <c r="A51" s="603"/>
      <c r="B51" s="604"/>
      <c r="C51" s="42" t="s">
        <v>23</v>
      </c>
      <c r="D51" s="41" t="s">
        <v>24</v>
      </c>
      <c r="E51" s="46">
        <v>6562</v>
      </c>
      <c r="F51" s="46">
        <v>6562</v>
      </c>
      <c r="G51" s="46">
        <v>6562</v>
      </c>
      <c r="H51" s="46">
        <v>7430</v>
      </c>
      <c r="I51" s="446"/>
      <c r="J51" s="47">
        <v>8116</v>
      </c>
      <c r="K51" s="46">
        <v>9210</v>
      </c>
      <c r="L51" s="45">
        <v>10110</v>
      </c>
      <c r="M51" s="53">
        <v>11651</v>
      </c>
      <c r="N51" s="446"/>
      <c r="O51" s="47">
        <v>11651.38</v>
      </c>
      <c r="P51" s="46">
        <v>11651.38</v>
      </c>
      <c r="Q51" s="45">
        <v>11651.38</v>
      </c>
      <c r="R51" s="47">
        <v>12048.33</v>
      </c>
      <c r="S51" s="5"/>
      <c r="T51" s="47">
        <v>11651</v>
      </c>
      <c r="U51" s="47">
        <v>11651</v>
      </c>
      <c r="V51" s="47">
        <v>11651</v>
      </c>
      <c r="W51" s="47">
        <v>12048</v>
      </c>
      <c r="X51" s="5"/>
      <c r="Y51" s="47">
        <v>11651.38</v>
      </c>
      <c r="Z51" s="47">
        <v>11651</v>
      </c>
      <c r="AA51" s="47">
        <v>11651</v>
      </c>
      <c r="AB51" s="47">
        <v>11651.38</v>
      </c>
      <c r="AC51" s="5"/>
      <c r="AD51" s="47">
        <v>11651.38</v>
      </c>
      <c r="AE51" s="47">
        <v>11650</v>
      </c>
      <c r="AF51" s="47">
        <v>12064.279999999999</v>
      </c>
      <c r="AG51" s="47">
        <v>12976</v>
      </c>
      <c r="AI51" s="47">
        <v>12976</v>
      </c>
      <c r="AJ51" s="47">
        <v>12976</v>
      </c>
      <c r="AK51" s="47">
        <v>13528</v>
      </c>
      <c r="AL51" s="47">
        <v>13528</v>
      </c>
      <c r="AN51" s="47">
        <v>12509</v>
      </c>
      <c r="AO51" s="47">
        <v>12509</v>
      </c>
      <c r="AP51" s="47">
        <v>12620</v>
      </c>
      <c r="AQ51" s="47"/>
    </row>
    <row r="52" spans="1:43" ht="23.1" customHeight="1" outlineLevel="2">
      <c r="A52" s="603"/>
      <c r="B52" s="604"/>
      <c r="C52" s="42" t="s">
        <v>25</v>
      </c>
      <c r="D52" s="41" t="s">
        <v>25</v>
      </c>
      <c r="E52" s="46">
        <v>4078</v>
      </c>
      <c r="F52" s="46">
        <v>6061</v>
      </c>
      <c r="G52" s="46">
        <v>7382</v>
      </c>
      <c r="H52" s="46">
        <v>8237</v>
      </c>
      <c r="I52" s="446"/>
      <c r="J52" s="47">
        <v>8237</v>
      </c>
      <c r="K52" s="46">
        <v>9582</v>
      </c>
      <c r="L52" s="45">
        <v>11031</v>
      </c>
      <c r="M52" s="53">
        <v>11031</v>
      </c>
      <c r="N52" s="446"/>
      <c r="O52" s="47">
        <v>11031.050000000001</v>
      </c>
      <c r="P52" s="46">
        <v>11031.050000000001</v>
      </c>
      <c r="Q52" s="45">
        <v>11031.050000000001</v>
      </c>
      <c r="R52" s="47">
        <v>11496.050000000001</v>
      </c>
      <c r="S52" s="5"/>
      <c r="T52" s="47">
        <v>11031</v>
      </c>
      <c r="U52" s="47">
        <v>11031</v>
      </c>
      <c r="V52" s="47">
        <v>11496</v>
      </c>
      <c r="W52" s="47">
        <v>11031.050000000001</v>
      </c>
      <c r="X52" s="5"/>
      <c r="Y52" s="47">
        <v>11031.050000000001</v>
      </c>
      <c r="Z52" s="47">
        <v>11031</v>
      </c>
      <c r="AA52" s="47">
        <v>11056</v>
      </c>
      <c r="AB52" s="47">
        <v>11056.490000000002</v>
      </c>
      <c r="AC52" s="5"/>
      <c r="AD52" s="47">
        <v>11056.490000000002</v>
      </c>
      <c r="AE52" s="47">
        <v>11050</v>
      </c>
      <c r="AF52" s="47">
        <v>11050.490000000002</v>
      </c>
      <c r="AG52" s="47">
        <v>11050</v>
      </c>
      <c r="AI52" s="47">
        <v>10339</v>
      </c>
      <c r="AJ52" s="47">
        <v>8995</v>
      </c>
      <c r="AK52" s="47">
        <v>7618</v>
      </c>
      <c r="AL52" s="47">
        <v>7004</v>
      </c>
      <c r="AN52" s="47">
        <v>7004</v>
      </c>
      <c r="AO52" s="47">
        <v>7004</v>
      </c>
      <c r="AP52" s="47">
        <v>7004</v>
      </c>
      <c r="AQ52" s="47"/>
    </row>
    <row r="53" spans="1:43" ht="23.1" customHeight="1" outlineLevel="2">
      <c r="A53" s="603"/>
      <c r="B53" s="604"/>
      <c r="C53" s="42" t="s">
        <v>26</v>
      </c>
      <c r="D53" s="41" t="s">
        <v>27</v>
      </c>
      <c r="E53" s="46" t="s">
        <v>28</v>
      </c>
      <c r="F53" s="46">
        <v>28005</v>
      </c>
      <c r="G53" s="46">
        <v>29562</v>
      </c>
      <c r="H53" s="46">
        <v>34762</v>
      </c>
      <c r="I53" s="446"/>
      <c r="J53" s="47">
        <v>36060</v>
      </c>
      <c r="K53" s="46">
        <v>36160</v>
      </c>
      <c r="L53" s="45">
        <v>37572</v>
      </c>
      <c r="M53" s="53">
        <v>42921</v>
      </c>
      <c r="N53" s="446"/>
      <c r="O53" s="47">
        <v>42920.520000000004</v>
      </c>
      <c r="P53" s="46">
        <v>43667.520000000004</v>
      </c>
      <c r="Q53" s="45">
        <v>46870.020000000004</v>
      </c>
      <c r="R53" s="47">
        <v>48177.520000000004</v>
      </c>
      <c r="S53" s="5"/>
      <c r="T53" s="47">
        <v>42921</v>
      </c>
      <c r="U53" s="47">
        <v>44498</v>
      </c>
      <c r="V53" s="47">
        <v>47687</v>
      </c>
      <c r="W53" s="47">
        <v>47695.57</v>
      </c>
      <c r="X53" s="5"/>
      <c r="Y53" s="47">
        <v>48122</v>
      </c>
      <c r="Z53" s="47">
        <v>48122</v>
      </c>
      <c r="AA53" s="47">
        <v>48852</v>
      </c>
      <c r="AB53" s="47">
        <v>49898.39</v>
      </c>
      <c r="AC53" s="5"/>
      <c r="AD53" s="47">
        <v>49589.840000000004</v>
      </c>
      <c r="AE53" s="47">
        <v>48420</v>
      </c>
      <c r="AF53" s="47">
        <v>48928.12</v>
      </c>
      <c r="AG53" s="47">
        <v>48340</v>
      </c>
      <c r="AI53" s="47">
        <v>48456</v>
      </c>
      <c r="AJ53" s="47">
        <v>46133</v>
      </c>
      <c r="AK53" s="47">
        <v>46850</v>
      </c>
      <c r="AL53" s="47">
        <v>46155</v>
      </c>
      <c r="AN53" s="47">
        <v>46389</v>
      </c>
      <c r="AO53" s="47">
        <v>45534</v>
      </c>
      <c r="AP53" s="47">
        <v>46109</v>
      </c>
      <c r="AQ53" s="47"/>
    </row>
    <row r="54" spans="1:43" ht="23.1" customHeight="1" outlineLevel="2">
      <c r="A54" s="603"/>
      <c r="B54" s="604"/>
      <c r="C54" s="42" t="s">
        <v>31</v>
      </c>
      <c r="D54" s="41" t="s">
        <v>336</v>
      </c>
      <c r="E54" s="46"/>
      <c r="F54" s="46"/>
      <c r="G54" s="46"/>
      <c r="H54" s="46"/>
      <c r="I54" s="446"/>
      <c r="J54" s="47"/>
      <c r="K54" s="46"/>
      <c r="L54" s="45"/>
      <c r="M54" s="53"/>
      <c r="N54" s="446"/>
      <c r="O54" s="47"/>
      <c r="P54" s="46"/>
      <c r="Q54" s="45"/>
      <c r="R54" s="47"/>
      <c r="S54" s="5"/>
      <c r="T54" s="47"/>
      <c r="U54" s="47"/>
      <c r="V54" s="47"/>
      <c r="W54" s="47"/>
      <c r="X54" s="5"/>
      <c r="Y54" s="47"/>
      <c r="Z54" s="47"/>
      <c r="AA54" s="47"/>
      <c r="AB54" s="47"/>
      <c r="AC54" s="5"/>
      <c r="AD54" s="47"/>
      <c r="AE54" s="47">
        <v>4249</v>
      </c>
      <c r="AF54" s="47">
        <v>4248.88</v>
      </c>
      <c r="AG54" s="47">
        <v>4621</v>
      </c>
      <c r="AI54" s="47">
        <v>4445</v>
      </c>
      <c r="AJ54" s="47">
        <v>4445</v>
      </c>
      <c r="AK54" s="47">
        <v>4445</v>
      </c>
      <c r="AL54" s="47">
        <v>4192</v>
      </c>
      <c r="AN54" s="47">
        <v>4192</v>
      </c>
      <c r="AO54" s="47">
        <v>3582</v>
      </c>
      <c r="AP54" s="47">
        <v>3059</v>
      </c>
      <c r="AQ54" s="47"/>
    </row>
    <row r="55" spans="1:43" ht="23.1" customHeight="1" outlineLevel="2">
      <c r="A55" s="603"/>
      <c r="B55" s="604"/>
      <c r="C55" s="42" t="s">
        <v>33</v>
      </c>
      <c r="D55" s="41" t="s">
        <v>337</v>
      </c>
      <c r="E55" s="46"/>
      <c r="F55" s="46"/>
      <c r="G55" s="46"/>
      <c r="H55" s="46"/>
      <c r="I55" s="446"/>
      <c r="J55" s="47"/>
      <c r="K55" s="46"/>
      <c r="L55" s="45"/>
      <c r="M55" s="53"/>
      <c r="N55" s="446"/>
      <c r="O55" s="47"/>
      <c r="P55" s="46"/>
      <c r="Q55" s="45"/>
      <c r="R55" s="47"/>
      <c r="S55" s="5"/>
      <c r="T55" s="47"/>
      <c r="U55" s="47"/>
      <c r="V55" s="47"/>
      <c r="W55" s="47"/>
      <c r="X55" s="5"/>
      <c r="Y55" s="47"/>
      <c r="Z55" s="47"/>
      <c r="AA55" s="47"/>
      <c r="AB55" s="47"/>
      <c r="AC55" s="5"/>
      <c r="AD55" s="47"/>
      <c r="AE55" s="47">
        <v>1420</v>
      </c>
      <c r="AF55" s="47">
        <v>1420</v>
      </c>
      <c r="AG55" s="47">
        <v>2879</v>
      </c>
      <c r="AI55" s="47">
        <v>1420</v>
      </c>
      <c r="AJ55" s="47">
        <v>1420</v>
      </c>
      <c r="AK55" s="47">
        <v>1420</v>
      </c>
      <c r="AL55" s="47">
        <v>1481</v>
      </c>
      <c r="AN55" s="47">
        <v>2668</v>
      </c>
      <c r="AO55" s="47">
        <v>2668</v>
      </c>
      <c r="AP55" s="47">
        <v>2668</v>
      </c>
      <c r="AQ55" s="47"/>
    </row>
    <row r="56" spans="1:43" ht="23.1" customHeight="1" outlineLevel="2">
      <c r="A56" s="603"/>
      <c r="B56" s="604"/>
      <c r="C56" s="42" t="s">
        <v>35</v>
      </c>
      <c r="D56" s="41" t="s">
        <v>338</v>
      </c>
      <c r="E56" s="46"/>
      <c r="F56" s="46"/>
      <c r="G56" s="46"/>
      <c r="H56" s="45"/>
      <c r="I56" s="446"/>
      <c r="J56" s="47"/>
      <c r="K56" s="46"/>
      <c r="L56" s="45"/>
      <c r="M56" s="53"/>
      <c r="N56" s="446"/>
      <c r="O56" s="47"/>
      <c r="P56" s="46"/>
      <c r="Q56" s="45"/>
      <c r="R56" s="47"/>
      <c r="S56" s="5"/>
      <c r="T56" s="557"/>
      <c r="U56" s="557"/>
      <c r="V56" s="557"/>
      <c r="W56" s="47"/>
      <c r="X56" s="5"/>
      <c r="Y56" s="557"/>
      <c r="Z56" s="557"/>
      <c r="AA56" s="557"/>
      <c r="AB56" s="47"/>
      <c r="AC56" s="5"/>
      <c r="AD56" s="557"/>
      <c r="AE56" s="557">
        <v>2879</v>
      </c>
      <c r="AF56" s="557">
        <v>2879</v>
      </c>
      <c r="AG56" s="47">
        <v>1420</v>
      </c>
      <c r="AI56" s="557">
        <v>2879</v>
      </c>
      <c r="AJ56" s="557">
        <v>2879</v>
      </c>
      <c r="AK56" s="557">
        <v>2879</v>
      </c>
      <c r="AL56" s="47">
        <v>2948</v>
      </c>
      <c r="AN56" s="557">
        <v>2948</v>
      </c>
      <c r="AO56" s="557">
        <v>2948</v>
      </c>
      <c r="AP56" s="557">
        <v>3283</v>
      </c>
      <c r="AQ56" s="47"/>
    </row>
    <row r="57" spans="1:43" ht="23.1" customHeight="1" outlineLevel="2">
      <c r="A57" s="603"/>
      <c r="B57" s="602"/>
      <c r="C57" s="472" t="s">
        <v>29</v>
      </c>
      <c r="D57" s="43" t="s">
        <v>339</v>
      </c>
      <c r="E57" s="54"/>
      <c r="F57" s="48"/>
      <c r="G57" s="48"/>
      <c r="H57" s="49"/>
      <c r="I57" s="446"/>
      <c r="J57" s="50"/>
      <c r="K57" s="48"/>
      <c r="L57" s="83"/>
      <c r="M57" s="71"/>
      <c r="N57" s="446"/>
      <c r="O57" s="50"/>
      <c r="P57" s="48"/>
      <c r="Q57" s="83"/>
      <c r="R57" s="71"/>
      <c r="S57" s="5"/>
      <c r="T57" s="71"/>
      <c r="U57" s="71"/>
      <c r="V57" s="71"/>
      <c r="W57" s="71"/>
      <c r="X57" s="5"/>
      <c r="Y57" s="71"/>
      <c r="Z57" s="71"/>
      <c r="AA57" s="71"/>
      <c r="AB57" s="71"/>
      <c r="AC57" s="5"/>
      <c r="AD57" s="71"/>
      <c r="AE57" s="71">
        <v>2879</v>
      </c>
      <c r="AF57" s="71">
        <v>2879</v>
      </c>
      <c r="AG57" s="71">
        <v>0</v>
      </c>
      <c r="AI57" s="71">
        <v>9898</v>
      </c>
      <c r="AJ57" s="71">
        <v>9190</v>
      </c>
      <c r="AK57" s="71">
        <v>9190</v>
      </c>
      <c r="AL57" s="71">
        <v>9788</v>
      </c>
      <c r="AN57" s="71">
        <v>9829</v>
      </c>
      <c r="AO57" s="71">
        <v>9700</v>
      </c>
      <c r="AP57" s="71">
        <v>9057</v>
      </c>
      <c r="AQ57" s="71"/>
    </row>
    <row r="58" spans="1:43" ht="15.6" outlineLevel="1">
      <c r="A58" s="603"/>
      <c r="C58" s="423" t="s">
        <v>273</v>
      </c>
      <c r="D58" s="424" t="s">
        <v>274</v>
      </c>
      <c r="E58" s="449">
        <f>SUM(E43:E53)</f>
        <v>449504</v>
      </c>
      <c r="F58" s="449">
        <f t="shared" ref="F58:M58" si="0">SUM(F43:F53)</f>
        <v>499105</v>
      </c>
      <c r="G58" s="449">
        <f t="shared" si="0"/>
        <v>519242</v>
      </c>
      <c r="H58" s="449">
        <f t="shared" si="0"/>
        <v>554059</v>
      </c>
      <c r="I58" s="450"/>
      <c r="J58" s="451">
        <f t="shared" si="0"/>
        <v>561838</v>
      </c>
      <c r="K58" s="451">
        <f t="shared" si="0"/>
        <v>583723</v>
      </c>
      <c r="L58" s="451">
        <f t="shared" si="0"/>
        <v>599050</v>
      </c>
      <c r="M58" s="451">
        <f t="shared" si="0"/>
        <v>626439</v>
      </c>
      <c r="N58" s="450"/>
      <c r="O58" s="451">
        <f>SUM(O43:O53)</f>
        <v>623022.27003000025</v>
      </c>
      <c r="P58" s="451">
        <f t="shared" ref="P58:R58" si="1">SUM(P43:P53)</f>
        <v>626880.3400300002</v>
      </c>
      <c r="Q58" s="451">
        <f t="shared" si="1"/>
        <v>631048.92003000015</v>
      </c>
      <c r="R58" s="451">
        <f t="shared" si="1"/>
        <v>636603.1100300001</v>
      </c>
      <c r="S58" s="5"/>
      <c r="T58" s="451">
        <f t="shared" ref="T58:W58" si="2">SUM(T43:T53)</f>
        <v>622766</v>
      </c>
      <c r="U58" s="451">
        <f t="shared" si="2"/>
        <v>626561</v>
      </c>
      <c r="V58" s="451">
        <f t="shared" si="2"/>
        <v>637590</v>
      </c>
      <c r="W58" s="451">
        <f t="shared" si="2"/>
        <v>630244.62</v>
      </c>
      <c r="X58" s="5"/>
      <c r="Y58" s="451">
        <f t="shared" ref="Y58" si="3">SUM(Y43:Y53)</f>
        <v>614887.72003000032</v>
      </c>
      <c r="Z58" s="451">
        <f>SUM(Z43:Z53)</f>
        <v>590503.80003000028</v>
      </c>
      <c r="AA58" s="451">
        <f>SUM(AA43:AA53)</f>
        <v>571327</v>
      </c>
      <c r="AB58" s="451">
        <f>SUM(AB43:AB53)</f>
        <v>556073.85003000021</v>
      </c>
      <c r="AC58" s="5"/>
      <c r="AD58" s="451">
        <f>SUM(AD43:AD53)</f>
        <v>527663.7200300002</v>
      </c>
      <c r="AE58" s="451">
        <v>533518</v>
      </c>
      <c r="AF58" s="451">
        <f>SUM(AF43:AF57)</f>
        <v>537992.94003000029</v>
      </c>
      <c r="AG58" s="451">
        <v>530280</v>
      </c>
      <c r="AI58" s="451">
        <f>SUM(AI43:AI57)</f>
        <v>537621</v>
      </c>
      <c r="AJ58" s="451">
        <f>SUM(AJ43:AJ57)</f>
        <v>527547</v>
      </c>
      <c r="AK58" s="451">
        <f>SUM(AK43:AK57)</f>
        <v>522728</v>
      </c>
      <c r="AL58" s="451">
        <f>SUM(AL43:AL57)</f>
        <v>516056</v>
      </c>
      <c r="AN58" s="451">
        <f>SUM(AN43:AN57)</f>
        <v>518337</v>
      </c>
      <c r="AO58" s="451">
        <f>SUM(AO43:AO57)</f>
        <v>516283</v>
      </c>
      <c r="AP58" s="451">
        <f>SUM(AP43:AP57)</f>
        <v>519954</v>
      </c>
      <c r="AQ58" s="451"/>
    </row>
    <row r="59" spans="1:43" ht="23.1" customHeight="1" outlineLevel="2">
      <c r="A59" s="603"/>
      <c r="B59" s="601"/>
      <c r="C59" s="42" t="s">
        <v>29</v>
      </c>
      <c r="D59" s="41" t="s">
        <v>30</v>
      </c>
      <c r="E59" s="453">
        <v>3827</v>
      </c>
      <c r="F59" s="453">
        <v>5027</v>
      </c>
      <c r="G59" s="453">
        <v>5840</v>
      </c>
      <c r="H59" s="453">
        <v>7147</v>
      </c>
      <c r="I59" s="454"/>
      <c r="J59" s="453">
        <v>7147</v>
      </c>
      <c r="K59" s="453">
        <v>8088</v>
      </c>
      <c r="L59" s="453">
        <v>10590</v>
      </c>
      <c r="M59" s="453">
        <v>11754</v>
      </c>
      <c r="N59" s="455"/>
      <c r="O59" s="453">
        <v>11754.32</v>
      </c>
      <c r="P59" s="453">
        <v>12848.32</v>
      </c>
      <c r="Q59" s="453">
        <v>12848.32</v>
      </c>
      <c r="R59" s="453">
        <v>12848.32</v>
      </c>
      <c r="S59" s="5"/>
      <c r="T59" s="453">
        <v>12848</v>
      </c>
      <c r="U59" s="453">
        <v>12848</v>
      </c>
      <c r="V59" s="453">
        <v>12848</v>
      </c>
      <c r="W59" s="453">
        <v>12336</v>
      </c>
      <c r="X59" s="5"/>
      <c r="Y59" s="453">
        <v>12336.32</v>
      </c>
      <c r="Z59" s="453">
        <v>12336</v>
      </c>
      <c r="AA59" s="453">
        <v>12371</v>
      </c>
      <c r="AB59" s="453">
        <v>11613.36</v>
      </c>
      <c r="AC59" s="5"/>
      <c r="AD59" s="453">
        <v>10569.36</v>
      </c>
      <c r="AE59" s="473">
        <v>10552</v>
      </c>
      <c r="AF59" s="473">
        <v>10649.279999999999</v>
      </c>
      <c r="AG59" s="453">
        <v>9415</v>
      </c>
      <c r="AI59" s="473">
        <v>0</v>
      </c>
      <c r="AJ59" s="473">
        <v>0</v>
      </c>
      <c r="AK59" s="473">
        <v>0</v>
      </c>
      <c r="AL59" s="453">
        <v>0</v>
      </c>
      <c r="AN59" s="473">
        <v>0</v>
      </c>
      <c r="AO59" s="473">
        <v>0</v>
      </c>
      <c r="AP59" s="473">
        <v>0</v>
      </c>
      <c r="AQ59" s="453"/>
    </row>
    <row r="60" spans="1:43" ht="23.1" customHeight="1" outlineLevel="2">
      <c r="A60" s="603"/>
      <c r="B60" s="604"/>
      <c r="C60" s="42" t="s">
        <v>31</v>
      </c>
      <c r="D60" s="41" t="s">
        <v>32</v>
      </c>
      <c r="E60" s="456">
        <v>4409</v>
      </c>
      <c r="F60" s="456">
        <v>4409</v>
      </c>
      <c r="G60" s="456">
        <v>4409</v>
      </c>
      <c r="H60" s="456">
        <v>4409</v>
      </c>
      <c r="I60" s="452"/>
      <c r="J60" s="456">
        <v>4409</v>
      </c>
      <c r="K60" s="456">
        <v>4409</v>
      </c>
      <c r="L60" s="456">
        <v>4409</v>
      </c>
      <c r="M60" s="456">
        <v>4409</v>
      </c>
      <c r="N60" s="452"/>
      <c r="O60" s="456">
        <v>4408.5</v>
      </c>
      <c r="P60" s="456">
        <v>4408.5</v>
      </c>
      <c r="Q60" s="456">
        <v>4408.5</v>
      </c>
      <c r="R60" s="456">
        <v>4558.88</v>
      </c>
      <c r="S60" s="5"/>
      <c r="T60" s="456">
        <v>4409</v>
      </c>
      <c r="U60" s="456">
        <v>4409</v>
      </c>
      <c r="V60" s="456">
        <v>4409</v>
      </c>
      <c r="W60" s="456">
        <v>4559</v>
      </c>
      <c r="X60" s="5"/>
      <c r="Y60" s="456">
        <v>4558.88</v>
      </c>
      <c r="Z60" s="456">
        <v>4559</v>
      </c>
      <c r="AA60" s="456">
        <v>4558.88</v>
      </c>
      <c r="AB60" s="456">
        <v>4558.88</v>
      </c>
      <c r="AC60" s="5"/>
      <c r="AD60" s="456">
        <v>4248.88</v>
      </c>
      <c r="AE60" s="474" t="s">
        <v>28</v>
      </c>
      <c r="AF60" s="499" t="s">
        <v>28</v>
      </c>
      <c r="AG60" s="456">
        <v>0</v>
      </c>
      <c r="AI60" s="456">
        <v>0</v>
      </c>
      <c r="AJ60" s="474">
        <v>0</v>
      </c>
      <c r="AK60" s="499">
        <v>0</v>
      </c>
      <c r="AL60" s="572">
        <v>0</v>
      </c>
      <c r="AN60" s="456">
        <v>0</v>
      </c>
      <c r="AO60" s="474">
        <v>0</v>
      </c>
      <c r="AP60" s="499">
        <v>0</v>
      </c>
      <c r="AQ60" s="572"/>
    </row>
    <row r="61" spans="1:43" ht="23.1" customHeight="1" outlineLevel="2">
      <c r="A61" s="603"/>
      <c r="B61" s="604"/>
      <c r="C61" s="42" t="s">
        <v>33</v>
      </c>
      <c r="D61" s="41" t="s">
        <v>34</v>
      </c>
      <c r="E61" s="456">
        <v>2657</v>
      </c>
      <c r="F61" s="456">
        <v>2657</v>
      </c>
      <c r="G61" s="456">
        <v>2657</v>
      </c>
      <c r="H61" s="456">
        <v>2657</v>
      </c>
      <c r="I61" s="452"/>
      <c r="J61" s="456">
        <v>2657</v>
      </c>
      <c r="K61" s="456">
        <v>2657</v>
      </c>
      <c r="L61" s="456">
        <v>2657</v>
      </c>
      <c r="M61" s="456">
        <v>2657</v>
      </c>
      <c r="N61" s="452"/>
      <c r="O61" s="456">
        <v>2657</v>
      </c>
      <c r="P61" s="456">
        <v>2657</v>
      </c>
      <c r="Q61" s="456">
        <v>2657</v>
      </c>
      <c r="R61" s="456">
        <v>2020</v>
      </c>
      <c r="S61" s="5"/>
      <c r="T61" s="456">
        <v>2657</v>
      </c>
      <c r="U61" s="456">
        <v>2657</v>
      </c>
      <c r="V61" s="456">
        <v>2020</v>
      </c>
      <c r="W61" s="456">
        <v>2020</v>
      </c>
      <c r="X61" s="5"/>
      <c r="Y61" s="456">
        <v>2020</v>
      </c>
      <c r="Z61" s="456">
        <v>2020</v>
      </c>
      <c r="AA61" s="456">
        <v>2020</v>
      </c>
      <c r="AB61" s="456">
        <v>2020</v>
      </c>
      <c r="AC61" s="5"/>
      <c r="AD61" s="456">
        <v>2020</v>
      </c>
      <c r="AE61" s="474" t="s">
        <v>28</v>
      </c>
      <c r="AF61" s="499" t="s">
        <v>28</v>
      </c>
      <c r="AG61" s="456">
        <v>0</v>
      </c>
      <c r="AI61" s="456">
        <v>0</v>
      </c>
      <c r="AJ61" s="474">
        <v>0</v>
      </c>
      <c r="AK61" s="499">
        <v>0</v>
      </c>
      <c r="AL61" s="572">
        <v>0</v>
      </c>
      <c r="AN61" s="456">
        <v>0</v>
      </c>
      <c r="AO61" s="474">
        <v>0</v>
      </c>
      <c r="AP61" s="499">
        <v>0</v>
      </c>
      <c r="AQ61" s="572"/>
    </row>
    <row r="62" spans="1:43" ht="23.1" customHeight="1" outlineLevel="2">
      <c r="A62" s="603"/>
      <c r="B62" s="604"/>
      <c r="C62" s="42" t="s">
        <v>35</v>
      </c>
      <c r="D62" s="44" t="s">
        <v>35</v>
      </c>
      <c r="E62" s="456">
        <v>724</v>
      </c>
      <c r="F62" s="456">
        <v>1774</v>
      </c>
      <c r="G62" s="456">
        <v>1774</v>
      </c>
      <c r="H62" s="456">
        <v>2629</v>
      </c>
      <c r="I62" s="452"/>
      <c r="J62" s="456">
        <v>2629</v>
      </c>
      <c r="K62" s="456">
        <v>2629</v>
      </c>
      <c r="L62" s="456">
        <v>2629</v>
      </c>
      <c r="M62" s="456">
        <v>3734</v>
      </c>
      <c r="N62" s="452"/>
      <c r="O62" s="456">
        <v>3734</v>
      </c>
      <c r="P62" s="456">
        <v>3734</v>
      </c>
      <c r="Q62" s="456">
        <v>2879</v>
      </c>
      <c r="R62" s="456">
        <v>2879</v>
      </c>
      <c r="S62" s="5"/>
      <c r="T62" s="456">
        <v>3734</v>
      </c>
      <c r="U62" s="456">
        <v>3734</v>
      </c>
      <c r="V62" s="456">
        <v>2879</v>
      </c>
      <c r="W62" s="456">
        <v>2879</v>
      </c>
      <c r="X62" s="5"/>
      <c r="Y62" s="456">
        <v>2879</v>
      </c>
      <c r="Z62" s="456">
        <v>2879</v>
      </c>
      <c r="AA62" s="456">
        <v>2879</v>
      </c>
      <c r="AB62" s="456">
        <v>2879</v>
      </c>
      <c r="AC62" s="5"/>
      <c r="AD62" s="456">
        <v>2879</v>
      </c>
      <c r="AE62" s="474" t="s">
        <v>28</v>
      </c>
      <c r="AF62" s="499" t="s">
        <v>28</v>
      </c>
      <c r="AG62" s="456">
        <v>0</v>
      </c>
      <c r="AI62" s="456">
        <v>0</v>
      </c>
      <c r="AJ62" s="474">
        <v>0</v>
      </c>
      <c r="AK62" s="499">
        <v>0</v>
      </c>
      <c r="AL62" s="572">
        <v>0</v>
      </c>
      <c r="AN62" s="456">
        <v>0</v>
      </c>
      <c r="AO62" s="474">
        <v>0</v>
      </c>
      <c r="AP62" s="499">
        <v>0</v>
      </c>
      <c r="AQ62" s="572"/>
    </row>
    <row r="63" spans="1:43" ht="23.1" customHeight="1" outlineLevel="2">
      <c r="A63" s="603"/>
      <c r="B63" s="604"/>
      <c r="C63" s="42" t="s">
        <v>36</v>
      </c>
      <c r="D63" s="44" t="s">
        <v>37</v>
      </c>
      <c r="E63" s="456">
        <v>740</v>
      </c>
      <c r="F63" s="456">
        <v>740</v>
      </c>
      <c r="G63" s="456">
        <v>740</v>
      </c>
      <c r="H63" s="456">
        <v>740</v>
      </c>
      <c r="I63" s="452"/>
      <c r="J63" s="456">
        <v>740</v>
      </c>
      <c r="K63" s="456">
        <v>740</v>
      </c>
      <c r="L63" s="456">
        <v>740</v>
      </c>
      <c r="M63" s="456">
        <v>740</v>
      </c>
      <c r="N63" s="452"/>
      <c r="O63" s="456">
        <v>740</v>
      </c>
      <c r="P63" s="456">
        <v>740</v>
      </c>
      <c r="Q63" s="456">
        <v>740</v>
      </c>
      <c r="R63" s="456">
        <v>740</v>
      </c>
      <c r="S63" s="5"/>
      <c r="T63" s="456">
        <v>740</v>
      </c>
      <c r="U63" s="456">
        <v>740</v>
      </c>
      <c r="V63" s="456">
        <v>740</v>
      </c>
      <c r="W63" s="456">
        <v>740</v>
      </c>
      <c r="X63" s="5"/>
      <c r="Y63" s="456">
        <v>740</v>
      </c>
      <c r="Z63" s="456">
        <v>740</v>
      </c>
      <c r="AA63" s="456">
        <v>740</v>
      </c>
      <c r="AB63" s="456">
        <v>740</v>
      </c>
      <c r="AC63" s="5"/>
      <c r="AD63" s="456">
        <v>740</v>
      </c>
      <c r="AE63" s="456">
        <v>740</v>
      </c>
      <c r="AF63" s="499">
        <v>740</v>
      </c>
      <c r="AG63" s="456">
        <v>740</v>
      </c>
      <c r="AI63" s="456">
        <v>740</v>
      </c>
      <c r="AJ63" s="456">
        <v>740</v>
      </c>
      <c r="AK63" s="499">
        <v>740</v>
      </c>
      <c r="AL63" s="456">
        <v>740</v>
      </c>
      <c r="AN63" s="456">
        <v>740</v>
      </c>
      <c r="AO63" s="456">
        <v>740</v>
      </c>
      <c r="AP63" s="499">
        <v>740</v>
      </c>
      <c r="AQ63" s="456"/>
    </row>
    <row r="64" spans="1:43" ht="23.1" customHeight="1" outlineLevel="2">
      <c r="A64" s="603"/>
      <c r="B64" s="604"/>
      <c r="C64" s="42" t="s">
        <v>38</v>
      </c>
      <c r="D64" s="44" t="s">
        <v>39</v>
      </c>
      <c r="E64" s="456" t="s">
        <v>28</v>
      </c>
      <c r="F64" s="456" t="s">
        <v>28</v>
      </c>
      <c r="G64" s="456" t="s">
        <v>28</v>
      </c>
      <c r="H64" s="456" t="s">
        <v>28</v>
      </c>
      <c r="I64" s="452"/>
      <c r="J64" s="456" t="s">
        <v>28</v>
      </c>
      <c r="K64" s="456">
        <v>1048</v>
      </c>
      <c r="L64" s="456">
        <v>1958</v>
      </c>
      <c r="M64" s="456">
        <v>1958</v>
      </c>
      <c r="N64" s="452"/>
      <c r="O64" s="456">
        <v>1958</v>
      </c>
      <c r="P64" s="456">
        <v>1957.58</v>
      </c>
      <c r="Q64" s="456">
        <v>1957.58</v>
      </c>
      <c r="R64" s="456">
        <v>1957.58</v>
      </c>
      <c r="S64" s="5"/>
      <c r="T64" s="456">
        <v>1958</v>
      </c>
      <c r="U64" s="456">
        <v>1958</v>
      </c>
      <c r="V64" s="456">
        <v>1958</v>
      </c>
      <c r="W64" s="456">
        <v>1958</v>
      </c>
      <c r="X64" s="5"/>
      <c r="Y64" s="456">
        <v>1957.58</v>
      </c>
      <c r="Z64" s="456">
        <v>1958</v>
      </c>
      <c r="AA64" s="456">
        <v>1957.58</v>
      </c>
      <c r="AB64" s="456">
        <v>1957.58</v>
      </c>
      <c r="AC64" s="5"/>
      <c r="AD64" s="456">
        <v>1957.58</v>
      </c>
      <c r="AE64" s="456">
        <v>1958</v>
      </c>
      <c r="AF64" s="499">
        <v>1957.58</v>
      </c>
      <c r="AG64" s="456">
        <v>1958</v>
      </c>
      <c r="AI64" s="456">
        <v>1958</v>
      </c>
      <c r="AJ64" s="456">
        <v>1958</v>
      </c>
      <c r="AK64" s="499">
        <v>1958</v>
      </c>
      <c r="AL64" s="456">
        <v>1958</v>
      </c>
      <c r="AN64" s="456">
        <v>1958</v>
      </c>
      <c r="AO64" s="456">
        <v>1958</v>
      </c>
      <c r="AP64" s="499">
        <v>1958</v>
      </c>
      <c r="AQ64" s="456"/>
    </row>
    <row r="65" spans="1:43" ht="23.1" customHeight="1" outlineLevel="2">
      <c r="A65" s="603"/>
      <c r="B65" s="604"/>
      <c r="C65" s="42" t="s">
        <v>40</v>
      </c>
      <c r="D65" s="44" t="s">
        <v>41</v>
      </c>
      <c r="E65" s="456" t="s">
        <v>28</v>
      </c>
      <c r="F65" s="456" t="s">
        <v>28</v>
      </c>
      <c r="G65" s="456" t="s">
        <v>28</v>
      </c>
      <c r="H65" s="456" t="s">
        <v>28</v>
      </c>
      <c r="I65" s="452"/>
      <c r="J65" s="456" t="s">
        <v>28</v>
      </c>
      <c r="K65" s="456">
        <v>1002</v>
      </c>
      <c r="L65" s="456">
        <v>1002</v>
      </c>
      <c r="M65" s="456">
        <v>1002</v>
      </c>
      <c r="N65" s="452"/>
      <c r="O65" s="456">
        <v>1002</v>
      </c>
      <c r="P65" s="456">
        <v>1001.96</v>
      </c>
      <c r="Q65" s="456">
        <v>1001.96</v>
      </c>
      <c r="R65" s="456">
        <v>1001.96</v>
      </c>
      <c r="S65" s="5"/>
      <c r="T65" s="456">
        <v>1002</v>
      </c>
      <c r="U65" s="456">
        <v>1002</v>
      </c>
      <c r="V65" s="456">
        <v>1002</v>
      </c>
      <c r="W65" s="456">
        <v>1002</v>
      </c>
      <c r="X65" s="5"/>
      <c r="Y65" s="456">
        <v>1001.96</v>
      </c>
      <c r="Z65" s="456">
        <v>1002</v>
      </c>
      <c r="AA65" s="456">
        <v>1001.96</v>
      </c>
      <c r="AB65" s="456">
        <v>1001.96</v>
      </c>
      <c r="AC65" s="5"/>
      <c r="AD65" s="456">
        <v>1001.96</v>
      </c>
      <c r="AE65" s="456">
        <v>1002</v>
      </c>
      <c r="AF65" s="499">
        <v>1001.96</v>
      </c>
      <c r="AG65" s="456">
        <v>1002</v>
      </c>
      <c r="AI65" s="456">
        <v>1002</v>
      </c>
      <c r="AJ65" s="456">
        <v>1002</v>
      </c>
      <c r="AK65" s="456">
        <v>1002</v>
      </c>
      <c r="AL65" s="456">
        <v>0</v>
      </c>
      <c r="AN65" s="456">
        <v>0</v>
      </c>
      <c r="AO65" s="456">
        <v>0</v>
      </c>
      <c r="AP65" s="456">
        <v>0</v>
      </c>
      <c r="AQ65" s="456"/>
    </row>
    <row r="66" spans="1:43" ht="23.1" customHeight="1" outlineLevel="2">
      <c r="A66" s="603"/>
      <c r="B66" s="604"/>
      <c r="C66" s="42" t="s">
        <v>42</v>
      </c>
      <c r="D66" s="44" t="s">
        <v>43</v>
      </c>
      <c r="E66" s="456" t="s">
        <v>28</v>
      </c>
      <c r="F66" s="456" t="s">
        <v>28</v>
      </c>
      <c r="G66" s="456" t="s">
        <v>28</v>
      </c>
      <c r="H66" s="456" t="s">
        <v>28</v>
      </c>
      <c r="I66" s="452"/>
      <c r="J66" s="456" t="s">
        <v>28</v>
      </c>
      <c r="K66" s="456">
        <v>1521</v>
      </c>
      <c r="L66" s="456">
        <v>3347</v>
      </c>
      <c r="M66" s="456">
        <v>4082</v>
      </c>
      <c r="N66" s="452"/>
      <c r="O66" s="456">
        <v>4852.76</v>
      </c>
      <c r="P66" s="456">
        <v>4852.76</v>
      </c>
      <c r="Q66" s="456">
        <v>4852.76</v>
      </c>
      <c r="R66" s="456">
        <v>4852.76</v>
      </c>
      <c r="S66" s="5"/>
      <c r="T66" s="456">
        <v>4853</v>
      </c>
      <c r="U66" s="456">
        <v>4853</v>
      </c>
      <c r="V66" s="456">
        <v>4853</v>
      </c>
      <c r="W66" s="456">
        <v>4853</v>
      </c>
      <c r="X66" s="5"/>
      <c r="Y66" s="456">
        <v>4852.76</v>
      </c>
      <c r="Z66" s="456">
        <v>4853</v>
      </c>
      <c r="AA66" s="456">
        <v>5302</v>
      </c>
      <c r="AB66" s="456">
        <v>5302</v>
      </c>
      <c r="AC66" s="5"/>
      <c r="AD66" s="456">
        <v>5302.18</v>
      </c>
      <c r="AE66" s="456">
        <v>5302</v>
      </c>
      <c r="AF66" s="499">
        <v>5302.18</v>
      </c>
      <c r="AG66" s="456">
        <v>5302</v>
      </c>
      <c r="AI66" s="456">
        <v>5302</v>
      </c>
      <c r="AJ66" s="456">
        <v>5302</v>
      </c>
      <c r="AK66" s="456">
        <v>5302</v>
      </c>
      <c r="AL66" s="456">
        <v>3347</v>
      </c>
      <c r="AN66" s="456">
        <v>3347</v>
      </c>
      <c r="AO66" s="456">
        <v>3347</v>
      </c>
      <c r="AP66" s="456">
        <v>0</v>
      </c>
      <c r="AQ66" s="456"/>
    </row>
    <row r="67" spans="1:43" ht="23.1" customHeight="1" outlineLevel="2">
      <c r="A67" s="603"/>
      <c r="B67" s="604"/>
      <c r="C67" s="42" t="s">
        <v>44</v>
      </c>
      <c r="D67" s="41" t="s">
        <v>45</v>
      </c>
      <c r="E67" s="456"/>
      <c r="F67" s="456"/>
      <c r="G67" s="456"/>
      <c r="H67" s="456"/>
      <c r="I67" s="452"/>
      <c r="J67" s="456"/>
      <c r="K67" s="456"/>
      <c r="L67" s="456">
        <v>1050</v>
      </c>
      <c r="M67" s="456">
        <v>1050</v>
      </c>
      <c r="N67" s="452"/>
      <c r="O67" s="456">
        <v>1050</v>
      </c>
      <c r="P67" s="456">
        <v>1876</v>
      </c>
      <c r="Q67" s="456">
        <v>1876</v>
      </c>
      <c r="R67" s="456">
        <v>1876</v>
      </c>
      <c r="S67" s="5"/>
      <c r="T67" s="456">
        <v>1050</v>
      </c>
      <c r="U67" s="456">
        <v>1876</v>
      </c>
      <c r="V67" s="456">
        <v>1876</v>
      </c>
      <c r="W67" s="456">
        <v>1876</v>
      </c>
      <c r="X67" s="5"/>
      <c r="Y67" s="456">
        <v>2420.48</v>
      </c>
      <c r="Z67" s="456">
        <v>2420</v>
      </c>
      <c r="AA67" s="456">
        <v>2420.48</v>
      </c>
      <c r="AB67" s="456">
        <v>2420.48</v>
      </c>
      <c r="AC67" s="5"/>
      <c r="AD67" s="456">
        <v>2420.48</v>
      </c>
      <c r="AE67" s="456">
        <v>2420</v>
      </c>
      <c r="AF67" s="499">
        <v>2420.48</v>
      </c>
      <c r="AG67" s="456">
        <v>2420</v>
      </c>
      <c r="AI67" s="456">
        <v>2420</v>
      </c>
      <c r="AJ67" s="456">
        <v>2420</v>
      </c>
      <c r="AK67" s="456">
        <v>2420</v>
      </c>
      <c r="AL67" s="456">
        <v>826</v>
      </c>
      <c r="AN67" s="456">
        <v>826</v>
      </c>
      <c r="AO67" s="456">
        <v>826</v>
      </c>
      <c r="AP67" s="456">
        <v>0</v>
      </c>
      <c r="AQ67" s="456"/>
    </row>
    <row r="68" spans="1:43" ht="23.1" customHeight="1" outlineLevel="2">
      <c r="A68" s="603"/>
      <c r="B68" s="604"/>
      <c r="C68" s="42" t="s">
        <v>47</v>
      </c>
      <c r="D68" s="41" t="s">
        <v>48</v>
      </c>
      <c r="E68" s="456"/>
      <c r="F68" s="456"/>
      <c r="G68" s="456"/>
      <c r="H68" s="456"/>
      <c r="I68" s="452"/>
      <c r="J68" s="456"/>
      <c r="K68" s="456"/>
      <c r="L68" s="456">
        <v>1223</v>
      </c>
      <c r="M68" s="456">
        <v>1223</v>
      </c>
      <c r="N68" s="452"/>
      <c r="O68" s="456">
        <v>1223</v>
      </c>
      <c r="P68" s="456">
        <v>1223</v>
      </c>
      <c r="Q68" s="456">
        <v>1223</v>
      </c>
      <c r="R68" s="456">
        <v>1223</v>
      </c>
      <c r="S68" s="5"/>
      <c r="T68" s="456">
        <v>1223</v>
      </c>
      <c r="U68" s="456">
        <v>1223</v>
      </c>
      <c r="V68" s="456">
        <v>1223</v>
      </c>
      <c r="W68" s="456">
        <v>1223</v>
      </c>
      <c r="X68" s="5"/>
      <c r="Y68" s="456">
        <v>929</v>
      </c>
      <c r="Z68" s="456">
        <v>929</v>
      </c>
      <c r="AA68" s="456">
        <v>929</v>
      </c>
      <c r="AB68" s="456">
        <v>929</v>
      </c>
      <c r="AC68" s="5"/>
      <c r="AD68" s="456">
        <v>929</v>
      </c>
      <c r="AE68" s="456">
        <v>929</v>
      </c>
      <c r="AF68" s="499">
        <v>929</v>
      </c>
      <c r="AG68" s="456">
        <v>929</v>
      </c>
      <c r="AI68" s="456">
        <v>929</v>
      </c>
      <c r="AJ68" s="456">
        <v>929</v>
      </c>
      <c r="AK68" s="456">
        <v>929</v>
      </c>
      <c r="AL68" s="456">
        <v>0</v>
      </c>
      <c r="AN68" s="456">
        <v>0</v>
      </c>
      <c r="AO68" s="456">
        <v>0</v>
      </c>
      <c r="AP68" s="456">
        <v>0</v>
      </c>
      <c r="AQ68" s="456"/>
    </row>
    <row r="69" spans="1:43" ht="23.1" customHeight="1" outlineLevel="2">
      <c r="A69" s="603"/>
      <c r="B69" s="602"/>
      <c r="C69" s="472" t="s">
        <v>46</v>
      </c>
      <c r="D69" s="43" t="s">
        <v>46</v>
      </c>
      <c r="E69" s="456"/>
      <c r="F69" s="456"/>
      <c r="G69" s="456"/>
      <c r="H69" s="456"/>
      <c r="I69" s="452"/>
      <c r="J69" s="456"/>
      <c r="K69" s="457"/>
      <c r="L69" s="457">
        <v>929</v>
      </c>
      <c r="M69" s="457">
        <v>929</v>
      </c>
      <c r="N69" s="455"/>
      <c r="O69" s="457">
        <v>929</v>
      </c>
      <c r="P69" s="457">
        <v>929</v>
      </c>
      <c r="Q69" s="457">
        <v>929</v>
      </c>
      <c r="R69" s="457">
        <v>929</v>
      </c>
      <c r="S69" s="5"/>
      <c r="T69" s="457">
        <v>929</v>
      </c>
      <c r="U69" s="457">
        <v>929</v>
      </c>
      <c r="V69" s="457">
        <v>929</v>
      </c>
      <c r="W69" s="457">
        <v>929</v>
      </c>
      <c r="X69" s="5"/>
      <c r="Y69" s="457">
        <v>1222.8</v>
      </c>
      <c r="Z69" s="457">
        <v>1222.8</v>
      </c>
      <c r="AA69" s="457">
        <v>1222.8</v>
      </c>
      <c r="AB69" s="457">
        <v>1222.8</v>
      </c>
      <c r="AC69" s="5"/>
      <c r="AD69" s="457">
        <v>1222.8</v>
      </c>
      <c r="AE69" s="457">
        <v>1223</v>
      </c>
      <c r="AF69" s="500">
        <v>1222.8</v>
      </c>
      <c r="AG69" s="457">
        <v>1223</v>
      </c>
      <c r="AI69" s="457">
        <v>1223</v>
      </c>
      <c r="AJ69" s="457">
        <v>1223</v>
      </c>
      <c r="AK69" s="457">
        <v>1223</v>
      </c>
      <c r="AL69" s="457">
        <v>1223</v>
      </c>
      <c r="AN69" s="457">
        <v>1223</v>
      </c>
      <c r="AO69" s="457">
        <v>1223</v>
      </c>
      <c r="AP69" s="457">
        <v>0</v>
      </c>
      <c r="AQ69" s="457"/>
    </row>
    <row r="70" spans="1:43" ht="15.6" outlineLevel="1">
      <c r="A70" s="603"/>
      <c r="C70" s="436" t="s">
        <v>49</v>
      </c>
      <c r="D70" s="437" t="s">
        <v>50</v>
      </c>
      <c r="E70" s="57">
        <f>SUM(E59:E69)</f>
        <v>12357</v>
      </c>
      <c r="F70" s="57">
        <f>SUM(F59:F69)</f>
        <v>14607</v>
      </c>
      <c r="G70" s="57">
        <f>SUM(G59:G69)</f>
        <v>15420</v>
      </c>
      <c r="H70" s="57">
        <f>SUM(H59:H69)</f>
        <v>17582</v>
      </c>
      <c r="I70" s="458"/>
      <c r="J70" s="57">
        <f>SUM(J59:J69)</f>
        <v>17582</v>
      </c>
      <c r="K70" s="57">
        <f>SUM(K59:K69)</f>
        <v>22094</v>
      </c>
      <c r="L70" s="57">
        <f>SUM(L59:L69)</f>
        <v>30534</v>
      </c>
      <c r="M70" s="57">
        <f>SUM(M59:M69)</f>
        <v>33538</v>
      </c>
      <c r="N70" s="458"/>
      <c r="O70" s="57">
        <f>SUM(O59:O69)</f>
        <v>34308.58</v>
      </c>
      <c r="P70" s="57">
        <f t="shared" ref="P70:R70" si="4">SUM(P59:P69)</f>
        <v>36228.120000000003</v>
      </c>
      <c r="Q70" s="57">
        <f t="shared" si="4"/>
        <v>35373.120000000003</v>
      </c>
      <c r="R70" s="57">
        <f t="shared" si="4"/>
        <v>34886.5</v>
      </c>
      <c r="S70" s="5"/>
      <c r="T70" s="57">
        <f t="shared" ref="T70:W70" si="5">SUM(T59:T69)</f>
        <v>35403</v>
      </c>
      <c r="U70" s="57">
        <f t="shared" si="5"/>
        <v>36229</v>
      </c>
      <c r="V70" s="57">
        <f t="shared" si="5"/>
        <v>34737</v>
      </c>
      <c r="W70" s="57">
        <f t="shared" si="5"/>
        <v>34375</v>
      </c>
      <c r="X70" s="5"/>
      <c r="Y70" s="57">
        <f t="shared" ref="Y70" si="6">SUM(Y59:Y69)</f>
        <v>34918.78</v>
      </c>
      <c r="Z70" s="57">
        <f>SUM(Z59:Z69)</f>
        <v>34918.800000000003</v>
      </c>
      <c r="AA70" s="57">
        <f>SUM(AA59:AA69)</f>
        <v>35402.700000000004</v>
      </c>
      <c r="AB70" s="57">
        <f>SUM(AB59:AB69)</f>
        <v>34645.06</v>
      </c>
      <c r="AC70" s="5"/>
      <c r="AD70" s="57">
        <f>SUM(AD59:AD69)</f>
        <v>33291.24</v>
      </c>
      <c r="AE70" s="57">
        <v>24126</v>
      </c>
      <c r="AF70" s="57">
        <f>SUM(AF59:AF69)</f>
        <v>24223.279999999999</v>
      </c>
      <c r="AG70" s="57">
        <v>22989</v>
      </c>
      <c r="AI70" s="57">
        <f>SUM(AI59:AI69)</f>
        <v>13574</v>
      </c>
      <c r="AJ70" s="57">
        <f>SUM(AJ59:AJ69)</f>
        <v>13574</v>
      </c>
      <c r="AK70" s="57">
        <f>SUM(AK59:AK69)</f>
        <v>13574</v>
      </c>
      <c r="AL70" s="57">
        <f>SUM(AL59:AL69)</f>
        <v>8094</v>
      </c>
      <c r="AN70" s="57">
        <f>SUM(AN59:AN69)</f>
        <v>8094</v>
      </c>
      <c r="AO70" s="57">
        <f>SUM(AO59:AO69)</f>
        <v>8094</v>
      </c>
      <c r="AP70" s="57">
        <f>SUM(AP59:AP69)</f>
        <v>2698</v>
      </c>
      <c r="AQ70" s="57"/>
    </row>
    <row r="71" spans="1:43" ht="23.1" customHeight="1" outlineLevel="2">
      <c r="A71" s="603"/>
      <c r="B71" s="605" t="s">
        <v>275</v>
      </c>
      <c r="C71" s="42" t="s">
        <v>51</v>
      </c>
      <c r="D71" s="40" t="s">
        <v>51</v>
      </c>
      <c r="E71" s="51">
        <v>2298</v>
      </c>
      <c r="F71" s="52">
        <v>2298</v>
      </c>
      <c r="G71" s="52">
        <v>3012</v>
      </c>
      <c r="H71" s="52">
        <v>5256</v>
      </c>
      <c r="I71" s="459"/>
      <c r="J71" s="52">
        <v>5726</v>
      </c>
      <c r="K71" s="52">
        <v>7777</v>
      </c>
      <c r="L71" s="52">
        <v>9076</v>
      </c>
      <c r="M71" s="52">
        <v>11945</v>
      </c>
      <c r="N71" s="459"/>
      <c r="O71" s="52">
        <v>14132.5</v>
      </c>
      <c r="P71" s="52">
        <v>17146.23</v>
      </c>
      <c r="Q71" s="52">
        <v>17146.23</v>
      </c>
      <c r="R71" s="52">
        <v>17146.23</v>
      </c>
      <c r="S71" s="5"/>
      <c r="T71" s="52">
        <v>14133</v>
      </c>
      <c r="U71" s="52">
        <v>17146.23</v>
      </c>
      <c r="V71" s="52">
        <v>17146.23</v>
      </c>
      <c r="W71" s="52">
        <v>17146.23</v>
      </c>
      <c r="X71" s="5"/>
      <c r="Y71" s="52">
        <v>17146.23</v>
      </c>
      <c r="Z71" s="52">
        <v>19413</v>
      </c>
      <c r="AA71" s="52">
        <v>19080</v>
      </c>
      <c r="AB71" s="52">
        <v>20714.929999999997</v>
      </c>
      <c r="AC71" s="5"/>
      <c r="AD71" s="52">
        <v>21586.129999999997</v>
      </c>
      <c r="AE71" s="52">
        <v>22926</v>
      </c>
      <c r="AF71" s="52">
        <v>23705.059999999994</v>
      </c>
      <c r="AG71" s="52">
        <v>26689</v>
      </c>
      <c r="AI71" s="52">
        <v>28622</v>
      </c>
      <c r="AJ71" s="52">
        <v>32359</v>
      </c>
      <c r="AK71" s="52">
        <v>35562</v>
      </c>
      <c r="AL71" s="52">
        <v>36527.620000000003</v>
      </c>
      <c r="AN71" s="52">
        <v>34195</v>
      </c>
      <c r="AO71" s="52">
        <v>34195</v>
      </c>
      <c r="AP71" s="52">
        <v>32400</v>
      </c>
      <c r="AQ71" s="52"/>
    </row>
    <row r="72" spans="1:43" ht="23.1" customHeight="1" outlineLevel="2">
      <c r="A72" s="603"/>
      <c r="B72" s="606"/>
      <c r="C72" s="124" t="s">
        <v>223</v>
      </c>
      <c r="D72" s="290" t="s">
        <v>223</v>
      </c>
      <c r="E72" s="123"/>
      <c r="F72" s="53"/>
      <c r="G72" s="53"/>
      <c r="H72" s="53"/>
      <c r="I72" s="459"/>
      <c r="J72" s="53"/>
      <c r="K72" s="53"/>
      <c r="L72" s="53"/>
      <c r="M72" s="53"/>
      <c r="N72" s="459"/>
      <c r="O72" s="53"/>
      <c r="P72" s="53"/>
      <c r="Q72" s="53"/>
      <c r="R72" s="53"/>
      <c r="S72" s="5"/>
      <c r="T72" s="53"/>
      <c r="U72" s="53"/>
      <c r="V72" s="53"/>
      <c r="W72" s="53"/>
      <c r="X72" s="5"/>
      <c r="Y72" s="53"/>
      <c r="Z72" s="53">
        <v>31375</v>
      </c>
      <c r="AA72" s="53">
        <v>51246</v>
      </c>
      <c r="AB72" s="53">
        <v>78636.31</v>
      </c>
      <c r="AC72" s="5"/>
      <c r="AD72" s="53">
        <v>106508.95</v>
      </c>
      <c r="AE72" s="53">
        <v>128719</v>
      </c>
      <c r="AF72" s="53">
        <v>141713.79</v>
      </c>
      <c r="AG72" s="53">
        <v>152103</v>
      </c>
      <c r="AI72" s="53">
        <v>170241</v>
      </c>
      <c r="AJ72" s="53">
        <v>188817</v>
      </c>
      <c r="AK72" s="53">
        <v>221649</v>
      </c>
      <c r="AL72" s="53">
        <v>226687</v>
      </c>
      <c r="AN72" s="53">
        <v>239625</v>
      </c>
      <c r="AO72" s="53">
        <v>244846</v>
      </c>
      <c r="AP72" s="53">
        <v>268677</v>
      </c>
      <c r="AQ72" s="53"/>
    </row>
    <row r="73" spans="1:43" ht="23.1" customHeight="1" outlineLevel="2">
      <c r="A73" s="603"/>
      <c r="B73" s="606"/>
      <c r="C73" s="124" t="s">
        <v>347</v>
      </c>
      <c r="D73" s="124" t="s">
        <v>347</v>
      </c>
      <c r="E73" s="123"/>
      <c r="F73" s="53"/>
      <c r="G73" s="53"/>
      <c r="H73" s="53"/>
      <c r="I73" s="459"/>
      <c r="J73" s="53"/>
      <c r="K73" s="53"/>
      <c r="L73" s="53"/>
      <c r="M73" s="53"/>
      <c r="N73" s="459"/>
      <c r="O73" s="53"/>
      <c r="P73" s="53"/>
      <c r="Q73" s="53"/>
      <c r="R73" s="53"/>
      <c r="S73" s="5"/>
      <c r="T73" s="53"/>
      <c r="U73" s="53"/>
      <c r="V73" s="53"/>
      <c r="W73" s="53"/>
      <c r="X73" s="5"/>
      <c r="Y73" s="53"/>
      <c r="Z73" s="53"/>
      <c r="AA73" s="53"/>
      <c r="AB73" s="53"/>
      <c r="AC73" s="5"/>
      <c r="AD73" s="53"/>
      <c r="AE73" s="53"/>
      <c r="AF73" s="53"/>
      <c r="AG73" s="53"/>
      <c r="AI73" s="53"/>
      <c r="AJ73" s="53"/>
      <c r="AK73" s="53"/>
      <c r="AL73" s="53"/>
      <c r="AN73" s="53">
        <v>0</v>
      </c>
      <c r="AO73" s="53">
        <v>3084</v>
      </c>
      <c r="AP73" s="53">
        <v>3084</v>
      </c>
      <c r="AQ73" s="53"/>
    </row>
    <row r="74" spans="1:43" ht="23.1" customHeight="1" outlineLevel="2">
      <c r="A74" s="603"/>
      <c r="B74" s="606"/>
      <c r="C74" s="124" t="s">
        <v>348</v>
      </c>
      <c r="D74" s="124" t="s">
        <v>348</v>
      </c>
      <c r="E74" s="123"/>
      <c r="F74" s="53"/>
      <c r="G74" s="53"/>
      <c r="H74" s="53"/>
      <c r="I74" s="459"/>
      <c r="J74" s="53"/>
      <c r="K74" s="53"/>
      <c r="L74" s="53"/>
      <c r="M74" s="53"/>
      <c r="N74" s="459"/>
      <c r="O74" s="53"/>
      <c r="P74" s="53"/>
      <c r="Q74" s="53"/>
      <c r="R74" s="53"/>
      <c r="S74" s="5"/>
      <c r="T74" s="53"/>
      <c r="U74" s="53"/>
      <c r="V74" s="53"/>
      <c r="W74" s="53"/>
      <c r="X74" s="5"/>
      <c r="Y74" s="53"/>
      <c r="Z74" s="53"/>
      <c r="AA74" s="53"/>
      <c r="AB74" s="53"/>
      <c r="AC74" s="5"/>
      <c r="AD74" s="53"/>
      <c r="AE74" s="53"/>
      <c r="AF74" s="53"/>
      <c r="AG74" s="53"/>
      <c r="AI74" s="53"/>
      <c r="AJ74" s="53"/>
      <c r="AK74" s="53"/>
      <c r="AL74" s="53"/>
      <c r="AN74" s="53"/>
      <c r="AO74" s="53"/>
      <c r="AP74" s="53">
        <v>873</v>
      </c>
      <c r="AQ74" s="53"/>
    </row>
    <row r="75" spans="1:43" ht="23.1" customHeight="1" outlineLevel="2">
      <c r="A75" s="603"/>
      <c r="B75" s="606"/>
      <c r="C75" s="42" t="s">
        <v>53</v>
      </c>
      <c r="D75" s="40" t="s">
        <v>53</v>
      </c>
      <c r="E75" s="456" t="s">
        <v>28</v>
      </c>
      <c r="F75" s="53">
        <v>86774</v>
      </c>
      <c r="G75" s="53">
        <v>88126</v>
      </c>
      <c r="H75" s="53">
        <v>83299</v>
      </c>
      <c r="I75" s="459"/>
      <c r="J75" s="53">
        <v>81149</v>
      </c>
      <c r="K75" s="53">
        <v>80742</v>
      </c>
      <c r="L75" s="53">
        <v>78759</v>
      </c>
      <c r="M75" s="53">
        <v>81315</v>
      </c>
      <c r="N75" s="459"/>
      <c r="O75" s="53">
        <v>77309</v>
      </c>
      <c r="P75" s="53"/>
      <c r="Q75" s="53"/>
      <c r="R75" s="53"/>
      <c r="S75" s="5"/>
      <c r="T75" s="53"/>
      <c r="U75" s="53"/>
      <c r="V75" s="53"/>
      <c r="W75" s="53"/>
      <c r="X75" s="5"/>
      <c r="Y75" s="53"/>
      <c r="Z75" s="53"/>
      <c r="AA75" s="53"/>
      <c r="AB75" s="148" t="s">
        <v>28</v>
      </c>
      <c r="AC75" s="5"/>
      <c r="AD75" s="53"/>
      <c r="AE75" s="53"/>
      <c r="AF75" s="53"/>
      <c r="AG75" s="148">
        <v>0</v>
      </c>
      <c r="AI75" s="53">
        <v>0</v>
      </c>
      <c r="AJ75" s="53"/>
      <c r="AK75" s="53">
        <v>0</v>
      </c>
      <c r="AL75" s="148">
        <v>0</v>
      </c>
      <c r="AN75" s="53">
        <v>0</v>
      </c>
      <c r="AO75" s="53"/>
      <c r="AP75" s="53">
        <v>0</v>
      </c>
      <c r="AQ75" s="148"/>
    </row>
    <row r="76" spans="1:43" ht="23.1" customHeight="1" outlineLevel="2">
      <c r="A76" s="603"/>
      <c r="B76" s="607"/>
      <c r="C76" s="42" t="s">
        <v>54</v>
      </c>
      <c r="D76" s="40" t="s">
        <v>54</v>
      </c>
      <c r="E76" s="456" t="s">
        <v>28</v>
      </c>
      <c r="F76" s="456" t="s">
        <v>28</v>
      </c>
      <c r="G76" s="456" t="s">
        <v>28</v>
      </c>
      <c r="H76" s="53">
        <v>7972</v>
      </c>
      <c r="I76" s="459"/>
      <c r="J76" s="53">
        <v>7972</v>
      </c>
      <c r="K76" s="53">
        <v>7972</v>
      </c>
      <c r="L76" s="53">
        <f>6372+976</f>
        <v>7348</v>
      </c>
      <c r="M76" s="53">
        <v>6713</v>
      </c>
      <c r="N76" s="459"/>
      <c r="O76" s="53">
        <v>5100.99</v>
      </c>
      <c r="P76" s="53">
        <v>4633</v>
      </c>
      <c r="Q76" s="53">
        <v>4327</v>
      </c>
      <c r="R76" s="53">
        <v>3979.45</v>
      </c>
      <c r="S76" s="5"/>
      <c r="T76" s="53">
        <v>4892</v>
      </c>
      <c r="U76" s="53">
        <v>4418</v>
      </c>
      <c r="V76" s="53">
        <v>4327</v>
      </c>
      <c r="W76" s="53">
        <v>1889</v>
      </c>
      <c r="X76" s="5"/>
      <c r="Y76" s="53">
        <v>1050</v>
      </c>
      <c r="Z76" s="53">
        <v>186</v>
      </c>
      <c r="AA76" s="128" t="s">
        <v>28</v>
      </c>
      <c r="AB76" s="148" t="s">
        <v>28</v>
      </c>
      <c r="AC76" s="5"/>
      <c r="AD76" s="53"/>
      <c r="AE76" s="53"/>
      <c r="AF76" s="53"/>
      <c r="AG76" s="148">
        <v>0</v>
      </c>
      <c r="AI76" s="53">
        <v>0</v>
      </c>
      <c r="AJ76" s="53"/>
      <c r="AK76" s="53">
        <v>0</v>
      </c>
      <c r="AL76" s="148" t="s">
        <v>28</v>
      </c>
      <c r="AN76" s="53" t="s">
        <v>28</v>
      </c>
      <c r="AO76" s="53"/>
      <c r="AP76" s="53">
        <v>0</v>
      </c>
      <c r="AQ76" s="148"/>
    </row>
    <row r="77" spans="1:43" ht="35.4" customHeight="1" thickBot="1">
      <c r="A77" s="603"/>
      <c r="C77" s="443" t="s">
        <v>55</v>
      </c>
      <c r="D77" s="443" t="s">
        <v>56</v>
      </c>
      <c r="E77" s="145">
        <f>SUM(E70:E76)+E58</f>
        <v>464159</v>
      </c>
      <c r="F77" s="146">
        <f>SUM(F70:F76)+F58</f>
        <v>602784</v>
      </c>
      <c r="G77" s="146">
        <f>SUM(G70:G76)+G58</f>
        <v>625800</v>
      </c>
      <c r="H77" s="146">
        <f>SUM(H70:H76)+H58</f>
        <v>668168</v>
      </c>
      <c r="I77" s="460"/>
      <c r="J77" s="146">
        <f>SUM(J70:J76)+J58</f>
        <v>674267</v>
      </c>
      <c r="K77" s="146">
        <f>SUM(K70:K76)+K58</f>
        <v>702308</v>
      </c>
      <c r="L77" s="146">
        <f>SUM(L70:L76)+L58</f>
        <v>724767</v>
      </c>
      <c r="M77" s="146">
        <f>SUM(M70:M76)+M58</f>
        <v>759950</v>
      </c>
      <c r="N77" s="460"/>
      <c r="O77" s="146">
        <f>SUM(O70:O76)+O58</f>
        <v>753873.34003000031</v>
      </c>
      <c r="P77" s="146">
        <f>SUM(P70:P76)+P58</f>
        <v>684887.69003000017</v>
      </c>
      <c r="Q77" s="146">
        <f>SUM(Q70:Q76)+Q58</f>
        <v>687895.27003000013</v>
      </c>
      <c r="R77" s="146">
        <f>SUM(R70:R76)+R58</f>
        <v>692615.29003000003</v>
      </c>
      <c r="S77" s="461"/>
      <c r="T77" s="146">
        <f>SUM(T70:T76)+T58</f>
        <v>677194</v>
      </c>
      <c r="U77" s="146">
        <f>SUM(U70:U76)+U58</f>
        <v>684354.23</v>
      </c>
      <c r="V77" s="146">
        <f>SUM(V70:V76)+V58</f>
        <v>693800.23</v>
      </c>
      <c r="W77" s="146">
        <f>SUM(W70:W76)+W58</f>
        <v>683654.85</v>
      </c>
      <c r="X77" s="461"/>
      <c r="Y77" s="146">
        <f>SUM(Y70:Y76)+Y58</f>
        <v>668002.73003000033</v>
      </c>
      <c r="Z77" s="146">
        <f>Z58+Z70+Z71+Z72+Z76</f>
        <v>676396.60003000032</v>
      </c>
      <c r="AA77" s="146">
        <f>AA58+AA70+AA71+AA72</f>
        <v>677055.7</v>
      </c>
      <c r="AB77" s="146">
        <f>AB58+AB70+AB71+AB72</f>
        <v>690070.15003000014</v>
      </c>
      <c r="AC77" s="461"/>
      <c r="AD77" s="146">
        <f>AD58+AD70+AD72+AD71</f>
        <v>689050.04003000015</v>
      </c>
      <c r="AE77" s="146">
        <v>709289</v>
      </c>
      <c r="AF77" s="146">
        <f>AF58+AF70+AF71+AF72</f>
        <v>727635.07003000029</v>
      </c>
      <c r="AG77" s="146">
        <v>732061</v>
      </c>
      <c r="AI77" s="146">
        <f>AI58+AI70+AI72+AI71</f>
        <v>750058</v>
      </c>
      <c r="AJ77" s="146">
        <f>AJ58+AJ70+AJ72+AJ71</f>
        <v>762297</v>
      </c>
      <c r="AK77" s="146">
        <f>AK58+AK70+AK71+AK72</f>
        <v>793513</v>
      </c>
      <c r="AL77" s="146">
        <f>AL58+AL70+AL72+AL71</f>
        <v>787364.62</v>
      </c>
      <c r="AN77" s="146">
        <f>SUM(AN58+AN70+AN71+AN72)</f>
        <v>800251</v>
      </c>
      <c r="AO77" s="146">
        <f>SUM(AO58+AO70+AO71+AO72+AO73)</f>
        <v>806502</v>
      </c>
      <c r="AP77" s="146">
        <f>SUM(AP58+AP70+AP71+AP72+AP73+AP74)</f>
        <v>827686</v>
      </c>
      <c r="AQ77" s="146"/>
    </row>
    <row r="78" spans="1:43" ht="35.4" customHeight="1" thickTop="1">
      <c r="A78" s="368"/>
      <c r="C78" s="462" t="s">
        <v>59</v>
      </c>
      <c r="D78" s="462" t="s">
        <v>60</v>
      </c>
      <c r="E78" s="129"/>
      <c r="F78" s="129"/>
      <c r="G78" s="129"/>
      <c r="H78" s="129"/>
      <c r="I78" s="463"/>
      <c r="J78" s="129"/>
      <c r="K78" s="129"/>
      <c r="L78" s="129"/>
      <c r="M78" s="129"/>
      <c r="N78" s="463"/>
      <c r="O78" s="129"/>
      <c r="P78" s="129">
        <v>75630</v>
      </c>
      <c r="Q78" s="129">
        <v>74097</v>
      </c>
      <c r="R78" s="129">
        <v>66190</v>
      </c>
      <c r="S78" s="464"/>
      <c r="T78" s="129">
        <v>77309</v>
      </c>
      <c r="U78" s="129">
        <v>76073</v>
      </c>
      <c r="V78" s="129">
        <v>72150</v>
      </c>
      <c r="W78" s="129">
        <v>65078</v>
      </c>
      <c r="X78" s="464"/>
      <c r="Y78" s="129">
        <v>63782</v>
      </c>
      <c r="Z78" s="129">
        <v>56482</v>
      </c>
      <c r="AA78" s="129" t="s">
        <v>28</v>
      </c>
      <c r="AB78" s="69"/>
      <c r="AC78" s="464"/>
      <c r="AD78" s="129"/>
      <c r="AE78" s="129"/>
      <c r="AF78" s="129"/>
      <c r="AG78" s="69"/>
      <c r="AI78" s="129"/>
      <c r="AJ78" s="129"/>
      <c r="AK78" s="129"/>
      <c r="AL78" s="69"/>
    </row>
    <row r="79" spans="1:43">
      <c r="I79" s="5"/>
      <c r="N79" s="5"/>
      <c r="S79" s="5"/>
    </row>
    <row r="80" spans="1:43">
      <c r="A80" s="60"/>
      <c r="I80" s="5"/>
      <c r="N80" s="5"/>
      <c r="S80" s="5"/>
      <c r="X80" s="5"/>
      <c r="AC80" s="5"/>
    </row>
    <row r="81" spans="1:43" ht="15" thickBot="1">
      <c r="A81" s="60"/>
      <c r="C81" s="130" t="s">
        <v>65</v>
      </c>
      <c r="D81" s="130" t="s">
        <v>66</v>
      </c>
      <c r="E81" s="131">
        <v>43190</v>
      </c>
      <c r="F81" s="132" t="s">
        <v>3</v>
      </c>
      <c r="G81" s="132" t="s">
        <v>4</v>
      </c>
      <c r="H81" s="132" t="s">
        <v>5</v>
      </c>
      <c r="I81" s="144"/>
      <c r="J81" s="131" t="s">
        <v>6</v>
      </c>
      <c r="K81" s="131">
        <v>43646</v>
      </c>
      <c r="L81" s="131">
        <v>43738</v>
      </c>
      <c r="M81" s="131">
        <v>43830</v>
      </c>
      <c r="N81" s="5"/>
      <c r="O81" s="131">
        <v>43921</v>
      </c>
      <c r="P81" s="131">
        <v>44012</v>
      </c>
      <c r="Q81" s="131">
        <v>44104</v>
      </c>
      <c r="R81" s="131">
        <v>44196</v>
      </c>
      <c r="S81" s="5"/>
      <c r="T81" s="131">
        <v>43951</v>
      </c>
      <c r="U81" s="131">
        <v>44043</v>
      </c>
      <c r="V81" s="131">
        <v>44135</v>
      </c>
      <c r="W81" s="131">
        <v>44227</v>
      </c>
      <c r="X81" s="5"/>
      <c r="Y81" s="131">
        <v>44316</v>
      </c>
      <c r="Z81" s="131">
        <v>44408</v>
      </c>
      <c r="AA81" s="131">
        <v>44500</v>
      </c>
      <c r="AB81" s="131">
        <v>44592</v>
      </c>
      <c r="AC81" s="5"/>
      <c r="AD81" s="131">
        <v>44681</v>
      </c>
      <c r="AE81" s="131">
        <v>44773</v>
      </c>
      <c r="AF81" s="131">
        <v>44865</v>
      </c>
      <c r="AG81" s="131">
        <v>44957</v>
      </c>
      <c r="AI81" s="131">
        <v>45046</v>
      </c>
      <c r="AJ81" s="131">
        <v>45138</v>
      </c>
      <c r="AK81" s="131">
        <v>45230</v>
      </c>
      <c r="AL81" s="131">
        <v>45322</v>
      </c>
      <c r="AN81" s="131">
        <v>45412</v>
      </c>
      <c r="AO81" s="131">
        <v>45504</v>
      </c>
      <c r="AP81" s="131">
        <v>45596</v>
      </c>
      <c r="AQ81" s="131">
        <v>45688</v>
      </c>
    </row>
    <row r="82" spans="1:43" ht="37.200000000000003" customHeight="1" thickTop="1">
      <c r="A82" s="600" t="s">
        <v>349</v>
      </c>
      <c r="B82" s="601" t="s">
        <v>67</v>
      </c>
      <c r="C82" s="61" t="s">
        <v>68</v>
      </c>
      <c r="D82" s="151" t="s">
        <v>69</v>
      </c>
      <c r="E82" s="62">
        <v>169</v>
      </c>
      <c r="F82" s="62">
        <v>232</v>
      </c>
      <c r="G82" s="62">
        <v>249</v>
      </c>
      <c r="H82" s="62">
        <v>328</v>
      </c>
      <c r="I82" s="465"/>
      <c r="J82" s="152">
        <v>289</v>
      </c>
      <c r="K82" s="62">
        <v>346</v>
      </c>
      <c r="L82" s="65">
        <v>354</v>
      </c>
      <c r="M82" s="153">
        <v>460</v>
      </c>
      <c r="N82" s="5"/>
      <c r="O82" s="152">
        <v>412</v>
      </c>
      <c r="P82" s="62">
        <v>629</v>
      </c>
      <c r="Q82" s="65">
        <v>571</v>
      </c>
      <c r="R82" s="153">
        <v>846</v>
      </c>
      <c r="S82" s="5"/>
      <c r="T82" s="153">
        <v>487</v>
      </c>
      <c r="U82" s="153"/>
      <c r="V82" s="153"/>
      <c r="W82" s="153">
        <v>1094</v>
      </c>
      <c r="X82" s="5"/>
      <c r="Y82" s="153">
        <v>893</v>
      </c>
      <c r="Z82" s="153">
        <v>888.2</v>
      </c>
      <c r="AA82" s="153">
        <v>940</v>
      </c>
      <c r="AB82" s="153">
        <v>1160</v>
      </c>
      <c r="AC82" s="5"/>
      <c r="AD82" s="153">
        <v>1026</v>
      </c>
      <c r="AE82" s="153">
        <v>2339.6</v>
      </c>
      <c r="AF82" s="153">
        <v>3595</v>
      </c>
      <c r="AG82" s="153">
        <v>5033.8</v>
      </c>
      <c r="AI82" s="153">
        <v>1091.3999999999999</v>
      </c>
      <c r="AJ82" s="153">
        <f>AJ83*('Segmenty | Segments'!Y3+'Segmenty | Segments'!X3)</f>
        <v>2352.0264000000002</v>
      </c>
      <c r="AK82" s="153">
        <v>3600.2106459193337</v>
      </c>
      <c r="AL82" s="153">
        <v>4356.2</v>
      </c>
      <c r="AN82" s="153">
        <v>960.6</v>
      </c>
      <c r="AO82" s="153">
        <v>2066.1</v>
      </c>
      <c r="AP82" s="153">
        <v>3255.6</v>
      </c>
      <c r="AQ82" s="153"/>
    </row>
    <row r="83" spans="1:43" ht="26.4" customHeight="1" thickBot="1">
      <c r="A83" s="600"/>
      <c r="B83" s="602"/>
      <c r="C83" s="154" t="s">
        <v>70</v>
      </c>
      <c r="D83" s="155" t="s">
        <v>71</v>
      </c>
      <c r="E83" s="156">
        <v>0.25655107683679312</v>
      </c>
      <c r="F83" s="156">
        <v>0.18257808790876337</v>
      </c>
      <c r="G83" s="156">
        <v>0.20872241223527402</v>
      </c>
      <c r="H83" s="156">
        <v>0.20458338546655402</v>
      </c>
      <c r="I83" s="466"/>
      <c r="J83" s="157">
        <v>0.27825919507028696</v>
      </c>
      <c r="K83" s="157">
        <v>0.2276203753790017</v>
      </c>
      <c r="L83" s="157">
        <v>0.26251390433815358</v>
      </c>
      <c r="M83" s="157">
        <v>0.28811223850682693</v>
      </c>
      <c r="N83" s="5"/>
      <c r="O83" s="157">
        <v>0.44158628081457663</v>
      </c>
      <c r="P83" s="157">
        <v>0.50195515122496215</v>
      </c>
      <c r="Q83" s="157">
        <v>0.39233200494709358</v>
      </c>
      <c r="R83" s="157">
        <v>0.52125693160813313</v>
      </c>
      <c r="S83" s="5"/>
      <c r="T83" s="157">
        <v>0.63107425165219644</v>
      </c>
      <c r="U83" s="157"/>
      <c r="V83" s="157"/>
      <c r="W83" s="157">
        <f>W82/1983</f>
        <v>0.55168935955622789</v>
      </c>
      <c r="X83" s="5"/>
      <c r="Y83" s="157">
        <v>0.62539393514952035</v>
      </c>
      <c r="Z83" s="157">
        <v>0.43375494457195884</v>
      </c>
      <c r="AA83" s="157">
        <f>AA82/2071</f>
        <v>0.45388701110574603</v>
      </c>
      <c r="AB83" s="157">
        <v>0.56715396274385177</v>
      </c>
      <c r="AC83" s="5"/>
      <c r="AD83" s="157">
        <v>0.54500000000000004</v>
      </c>
      <c r="AE83" s="475">
        <v>0.54900000000000004</v>
      </c>
      <c r="AF83" s="157">
        <v>0.53805283244780366</v>
      </c>
      <c r="AG83" s="157">
        <v>0.55000000000000004</v>
      </c>
      <c r="AI83" s="475">
        <v>0.528753451867642</v>
      </c>
      <c r="AJ83" s="475">
        <v>0.52400000000000002</v>
      </c>
      <c r="AK83" s="157">
        <v>0.52033684722060036</v>
      </c>
      <c r="AL83" s="157">
        <v>0.46144719977119375</v>
      </c>
      <c r="AN83" s="475">
        <v>0.42479989386636002</v>
      </c>
      <c r="AO83" s="475">
        <v>0.42595608700134002</v>
      </c>
      <c r="AP83" s="157">
        <v>0.42716561261710445</v>
      </c>
      <c r="AQ83" s="157"/>
    </row>
    <row r="84" spans="1:43" ht="15" thickTop="1">
      <c r="I84" s="5"/>
      <c r="N84" s="5"/>
      <c r="S84" s="5"/>
      <c r="X84" s="5"/>
    </row>
    <row r="85" spans="1:43">
      <c r="I85" s="5"/>
      <c r="N85" s="5"/>
      <c r="S85" s="5"/>
      <c r="X85" s="5"/>
    </row>
  </sheetData>
  <mergeCells count="14">
    <mergeCell ref="AN1:AQ1"/>
    <mergeCell ref="AI1:AL1"/>
    <mergeCell ref="Y1:AB1"/>
    <mergeCell ref="AD1:AG1"/>
    <mergeCell ref="A3:A37"/>
    <mergeCell ref="B19:B29"/>
    <mergeCell ref="B31:B36"/>
    <mergeCell ref="B3:B17"/>
    <mergeCell ref="A82:A83"/>
    <mergeCell ref="B82:B83"/>
    <mergeCell ref="A43:A77"/>
    <mergeCell ref="B59:B69"/>
    <mergeCell ref="B71:B76"/>
    <mergeCell ref="B43:B57"/>
  </mergeCells>
  <pageMargins left="0.7" right="0.7" top="0.75" bottom="0.75" header="0.3" footer="0.3"/>
  <pageSetup paperSize="9" orientation="portrait" r:id="rId1"/>
  <customProperties>
    <customPr name="_pios_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theme="0" tint="-0.14999847407452621"/>
  </sheetPr>
  <dimension ref="A1:BF51"/>
  <sheetViews>
    <sheetView showGridLines="0" tabSelected="1" topLeftCell="A7" zoomScaleNormal="100" workbookViewId="0">
      <pane xSplit="1" topLeftCell="AR1" activePane="topRight" state="frozen"/>
      <selection pane="topRight" activeCell="BC19" sqref="BC19"/>
    </sheetView>
  </sheetViews>
  <sheetFormatPr defaultRowHeight="14.4" outlineLevelCol="1"/>
  <cols>
    <col min="1" max="1" width="48" customWidth="1"/>
    <col min="2" max="2" width="44" customWidth="1"/>
    <col min="3" max="6" width="17.44140625" hidden="1" customWidth="1" outlineLevel="1"/>
    <col min="7" max="7" width="5.44140625" hidden="1" customWidth="1" outlineLevel="1"/>
    <col min="8" max="8" width="8.5546875" bestFit="1" customWidth="1" collapsed="1"/>
    <col min="9" max="9" width="5.44140625" customWidth="1"/>
    <col min="10" max="13" width="17.44140625" hidden="1" customWidth="1" outlineLevel="1"/>
    <col min="14" max="14" width="6.33203125" hidden="1" customWidth="1" outlineLevel="1"/>
    <col min="15" max="15" width="8.5546875" bestFit="1" customWidth="1" collapsed="1"/>
    <col min="16" max="16" width="5.44140625" customWidth="1"/>
    <col min="17" max="20" width="17.44140625" hidden="1" customWidth="1" outlineLevel="1"/>
    <col min="21" max="22" width="16.109375" hidden="1" customWidth="1" outlineLevel="1"/>
    <col min="23" max="23" width="9.88671875" customWidth="1" collapsed="1"/>
    <col min="24" max="24" width="5.33203125" customWidth="1"/>
    <col min="25" max="25" width="10.6640625" hidden="1" customWidth="1" outlineLevel="1"/>
    <col min="26" max="29" width="11.44140625" hidden="1" customWidth="1" outlineLevel="1"/>
    <col min="30" max="30" width="8.88671875" customWidth="1" collapsed="1"/>
    <col min="31" max="31" width="4.44140625" customWidth="1"/>
    <col min="32" max="34" width="11.6640625" hidden="1" customWidth="1" outlineLevel="1"/>
    <col min="35" max="35" width="11.44140625" hidden="1" customWidth="1" outlineLevel="1"/>
    <col min="36" max="36" width="8.88671875" hidden="1" customWidth="1" outlineLevel="1"/>
    <col min="37" max="37" width="9" customWidth="1" collapsed="1"/>
    <col min="39" max="42" width="11.6640625" customWidth="1" outlineLevel="1"/>
    <col min="43" max="43" width="8.88671875" customWidth="1"/>
    <col min="44" max="44" width="11.33203125" customWidth="1"/>
  </cols>
  <sheetData>
    <row r="1" spans="1:58" ht="45.6" customHeight="1">
      <c r="I1" s="5"/>
      <c r="J1" s="611" t="s">
        <v>265</v>
      </c>
      <c r="K1" s="611"/>
      <c r="L1" s="611"/>
      <c r="M1" s="611"/>
      <c r="N1" s="611"/>
      <c r="O1" s="611"/>
      <c r="P1" s="612"/>
      <c r="Q1" s="611"/>
      <c r="R1" s="611"/>
      <c r="S1" s="611"/>
      <c r="T1" s="611"/>
      <c r="U1" s="611"/>
      <c r="V1" s="611"/>
      <c r="W1" s="611"/>
      <c r="X1" s="5"/>
      <c r="AC1" s="5"/>
      <c r="AE1" s="5"/>
      <c r="AJ1" s="5"/>
      <c r="AL1" s="5"/>
      <c r="AM1" s="610" t="s">
        <v>304</v>
      </c>
      <c r="AN1" s="610"/>
      <c r="AO1" s="610"/>
      <c r="AP1" s="610"/>
      <c r="AQ1" s="610"/>
      <c r="AR1" s="610"/>
    </row>
    <row r="2" spans="1:58" ht="29.4" thickBot="1">
      <c r="A2" s="22" t="s">
        <v>72</v>
      </c>
      <c r="B2" s="22" t="s">
        <v>276</v>
      </c>
      <c r="C2" s="23" t="s">
        <v>73</v>
      </c>
      <c r="D2" s="23" t="s">
        <v>74</v>
      </c>
      <c r="E2" s="23" t="s">
        <v>75</v>
      </c>
      <c r="F2" s="23" t="s">
        <v>76</v>
      </c>
      <c r="G2" s="23"/>
      <c r="H2" s="23">
        <v>2018</v>
      </c>
      <c r="I2" s="144"/>
      <c r="J2" s="23" t="s">
        <v>77</v>
      </c>
      <c r="K2" s="23" t="s">
        <v>78</v>
      </c>
      <c r="L2" s="23" t="s">
        <v>79</v>
      </c>
      <c r="M2" s="23" t="s">
        <v>80</v>
      </c>
      <c r="N2" s="23"/>
      <c r="O2" s="23">
        <v>2019</v>
      </c>
      <c r="P2" s="144"/>
      <c r="Q2" s="23" t="s">
        <v>81</v>
      </c>
      <c r="R2" s="23" t="s">
        <v>82</v>
      </c>
      <c r="S2" s="23" t="s">
        <v>83</v>
      </c>
      <c r="T2" s="70" t="s">
        <v>84</v>
      </c>
      <c r="U2" s="70" t="s">
        <v>234</v>
      </c>
      <c r="V2" s="70"/>
      <c r="W2" s="70" t="s">
        <v>224</v>
      </c>
      <c r="X2" s="144"/>
      <c r="Y2" s="70" t="s">
        <v>81</v>
      </c>
      <c r="Z2" s="70" t="s">
        <v>82</v>
      </c>
      <c r="AA2" s="70" t="s">
        <v>83</v>
      </c>
      <c r="AB2" s="70" t="s">
        <v>234</v>
      </c>
      <c r="AC2" s="167"/>
      <c r="AD2" s="70" t="s">
        <v>226</v>
      </c>
      <c r="AE2" s="144"/>
      <c r="AF2" s="23" t="s">
        <v>313</v>
      </c>
      <c r="AG2" s="23" t="s">
        <v>314</v>
      </c>
      <c r="AH2" s="23" t="s">
        <v>315</v>
      </c>
      <c r="AI2" s="70" t="s">
        <v>329</v>
      </c>
      <c r="AJ2" s="168"/>
      <c r="AK2" s="70" t="s">
        <v>330</v>
      </c>
      <c r="AL2" s="229"/>
      <c r="AM2" s="23" t="s">
        <v>283</v>
      </c>
      <c r="AN2" s="23" t="s">
        <v>284</v>
      </c>
      <c r="AO2" s="23" t="s">
        <v>285</v>
      </c>
      <c r="AP2" s="70" t="s">
        <v>286</v>
      </c>
      <c r="AQ2" s="168"/>
      <c r="AR2" s="70" t="s">
        <v>297</v>
      </c>
      <c r="AT2" s="23" t="s">
        <v>331</v>
      </c>
      <c r="AU2" s="23" t="s">
        <v>332</v>
      </c>
      <c r="AV2" s="23" t="s">
        <v>333</v>
      </c>
      <c r="AW2" s="70" t="s">
        <v>334</v>
      </c>
      <c r="AX2" s="168"/>
      <c r="AY2" s="70" t="s">
        <v>335</v>
      </c>
      <c r="BA2" s="23" t="s">
        <v>342</v>
      </c>
      <c r="BB2" s="23" t="s">
        <v>343</v>
      </c>
      <c r="BC2" s="23" t="s">
        <v>344</v>
      </c>
      <c r="BD2" s="70" t="s">
        <v>345</v>
      </c>
      <c r="BE2" s="168"/>
      <c r="BF2" s="70" t="s">
        <v>346</v>
      </c>
    </row>
    <row r="3" spans="1:58" ht="21.75" customHeight="1" thickTop="1">
      <c r="A3" s="2" t="s">
        <v>85</v>
      </c>
      <c r="B3" s="2" t="s">
        <v>288</v>
      </c>
      <c r="C3" s="20">
        <v>658.73822119059207</v>
      </c>
      <c r="D3" s="20">
        <v>1270.6891755594081</v>
      </c>
      <c r="E3" s="20">
        <v>1192.9720308105898</v>
      </c>
      <c r="F3" s="20">
        <v>1603.2582472520558</v>
      </c>
      <c r="G3" s="20"/>
      <c r="H3" s="10">
        <v>4725.7576748126457</v>
      </c>
      <c r="I3" s="20"/>
      <c r="J3" s="20">
        <v>937.7</v>
      </c>
      <c r="K3" s="20">
        <v>1520.1</v>
      </c>
      <c r="L3" s="20">
        <v>1348.4999999999995</v>
      </c>
      <c r="M3" s="20">
        <v>1596.6000000000004</v>
      </c>
      <c r="N3" s="20"/>
      <c r="O3" s="10">
        <f>SUM(J3:M3)</f>
        <v>5402.9</v>
      </c>
      <c r="P3" s="20"/>
      <c r="Q3" s="20">
        <v>933</v>
      </c>
      <c r="R3" s="20">
        <v>1253.0999999999999</v>
      </c>
      <c r="S3" s="20">
        <v>1455.4</v>
      </c>
      <c r="T3" s="20">
        <v>1623</v>
      </c>
      <c r="U3" s="20">
        <f>W3-S3-R3-Q3</f>
        <v>1997.1000000000008</v>
      </c>
      <c r="V3" s="74"/>
      <c r="W3" s="80">
        <v>5638.6</v>
      </c>
      <c r="X3" s="75"/>
      <c r="Y3" s="20">
        <v>771.7</v>
      </c>
      <c r="Z3" s="20">
        <v>1457</v>
      </c>
      <c r="AA3" s="20">
        <v>1620.7000000000003</v>
      </c>
      <c r="AB3" s="76">
        <v>1397.6</v>
      </c>
      <c r="AC3" s="75"/>
      <c r="AD3" s="80">
        <f>SUM(Y3:AB3)</f>
        <v>5247</v>
      </c>
      <c r="AE3" s="20"/>
      <c r="AF3" s="20">
        <v>1420.1</v>
      </c>
      <c r="AG3" s="20">
        <v>2033.4</v>
      </c>
      <c r="AH3" s="20">
        <v>2055.3999999999996</v>
      </c>
      <c r="AI3" s="76">
        <f>AK3-SUM(AF3:AH3)</f>
        <v>2032.8000000000002</v>
      </c>
      <c r="AJ3" s="75"/>
      <c r="AK3" s="80">
        <v>7541.7</v>
      </c>
      <c r="AL3" s="20"/>
      <c r="AM3" s="20">
        <v>1882</v>
      </c>
      <c r="AN3" s="20">
        <v>2377.4</v>
      </c>
      <c r="AO3" s="20">
        <v>2422.1000000000004</v>
      </c>
      <c r="AP3" s="76">
        <f>AR3-SUM(AM3:AO3)</f>
        <v>2441.7000000000007</v>
      </c>
      <c r="AQ3" s="75"/>
      <c r="AR3" s="80">
        <v>9123.2000000000007</v>
      </c>
      <c r="AT3" s="20">
        <v>2064.1</v>
      </c>
      <c r="AU3" s="20">
        <v>2424.5</v>
      </c>
      <c r="AV3" s="20">
        <v>2430.3999999999996</v>
      </c>
      <c r="AW3" s="76">
        <f>AY3-SUM(AT3:AV3)</f>
        <v>2521.2999999999993</v>
      </c>
      <c r="AX3" s="75"/>
      <c r="AY3" s="80">
        <v>9440.2999999999993</v>
      </c>
      <c r="BA3" s="20">
        <v>2261.3000000000002</v>
      </c>
      <c r="BB3" s="20">
        <v>2589.1999999999998</v>
      </c>
      <c r="BC3" s="20">
        <v>2770.8999999999996</v>
      </c>
      <c r="BD3" s="76"/>
      <c r="BE3" s="75"/>
      <c r="BF3" s="80"/>
    </row>
    <row r="4" spans="1:58" ht="21.75" customHeight="1" thickBot="1">
      <c r="A4" s="159" t="s">
        <v>86</v>
      </c>
      <c r="B4" s="159" t="s">
        <v>87</v>
      </c>
      <c r="C4" s="160">
        <v>312.08168291396805</v>
      </c>
      <c r="D4" s="160">
        <v>677.79049880603202</v>
      </c>
      <c r="E4" s="160">
        <v>563.85418834215477</v>
      </c>
      <c r="F4" s="161">
        <v>816.06862021203574</v>
      </c>
      <c r="G4" s="161"/>
      <c r="H4" s="162">
        <v>2369.8949902741906</v>
      </c>
      <c r="I4" s="158"/>
      <c r="J4" s="160">
        <f>435.2+0.1</f>
        <v>435.3</v>
      </c>
      <c r="K4" s="160">
        <f>765.6</f>
        <v>765.6</v>
      </c>
      <c r="L4" s="160">
        <v>622.1</v>
      </c>
      <c r="M4" s="161">
        <v>772.4</v>
      </c>
      <c r="N4" s="161"/>
      <c r="O4" s="163">
        <f t="shared" ref="O4:O6" si="0">SUM(J4:M4)</f>
        <v>2595.4</v>
      </c>
      <c r="P4" s="158"/>
      <c r="Q4" s="160">
        <v>382.80000000000007</v>
      </c>
      <c r="R4" s="160">
        <v>567.70000000000005</v>
      </c>
      <c r="S4" s="160">
        <v>630.90000000000009</v>
      </c>
      <c r="T4" s="160">
        <v>743</v>
      </c>
      <c r="U4" s="160">
        <f>W4-S4-R4-Q4</f>
        <v>875.0999999999998</v>
      </c>
      <c r="V4" s="160"/>
      <c r="W4" s="162">
        <v>2456.5</v>
      </c>
      <c r="X4" s="166"/>
      <c r="Y4" s="160">
        <v>331.6</v>
      </c>
      <c r="Z4" s="160">
        <v>660</v>
      </c>
      <c r="AA4" s="160">
        <v>713.50000000000045</v>
      </c>
      <c r="AB4" s="161">
        <v>587.79999999999995</v>
      </c>
      <c r="AC4" s="166"/>
      <c r="AD4" s="162">
        <f>SUM(Y4:AB4)</f>
        <v>2292.9000000000005</v>
      </c>
      <c r="AE4" s="166"/>
      <c r="AF4" s="160">
        <v>610.4</v>
      </c>
      <c r="AG4" s="160">
        <v>959.10000000000014</v>
      </c>
      <c r="AH4" s="160">
        <v>1011.3999999999996</v>
      </c>
      <c r="AI4" s="161">
        <f t="shared" ref="AI4:AI16" si="1">AK4-SUM(AF4:AH4)</f>
        <v>944.40000000000055</v>
      </c>
      <c r="AJ4" s="166"/>
      <c r="AK4" s="162">
        <v>3525.3</v>
      </c>
      <c r="AL4" s="5"/>
      <c r="AM4" s="160">
        <v>922.8</v>
      </c>
      <c r="AN4" s="160">
        <v>1129.4000000000001</v>
      </c>
      <c r="AO4" s="160">
        <v>1163.1000000000004</v>
      </c>
      <c r="AP4" s="161">
        <f t="shared" ref="AP4:AP16" si="2">AR4-SUM(AM4:AO4)</f>
        <v>1050.0999999999995</v>
      </c>
      <c r="AQ4" s="166"/>
      <c r="AR4" s="162">
        <v>4265.3999999999996</v>
      </c>
      <c r="AT4" s="160">
        <v>958.8</v>
      </c>
      <c r="AU4" s="160">
        <v>1102.0999999999999</v>
      </c>
      <c r="AV4" s="160">
        <v>1173.9999999999995</v>
      </c>
      <c r="AW4" s="161">
        <f>AY4-SUM(AT4:AV4)</f>
        <v>1159.2000000000003</v>
      </c>
      <c r="AX4" s="166"/>
      <c r="AY4" s="162">
        <v>4394.0999999999995</v>
      </c>
      <c r="BA4" s="160">
        <v>1162.8</v>
      </c>
      <c r="BB4" s="160">
        <v>1282.2999999999997</v>
      </c>
      <c r="BC4" s="160">
        <v>1419.9999999999995</v>
      </c>
      <c r="BD4" s="161"/>
      <c r="BE4" s="166"/>
      <c r="BF4" s="162"/>
    </row>
    <row r="5" spans="1:58" ht="21.75" customHeight="1" thickTop="1">
      <c r="A5" s="2" t="s">
        <v>88</v>
      </c>
      <c r="B5" s="2" t="s">
        <v>89</v>
      </c>
      <c r="C5" s="19">
        <v>0.47375675628767527</v>
      </c>
      <c r="D5" s="19">
        <v>0.53340385032212267</v>
      </c>
      <c r="E5" s="19">
        <v>0.47264661180617307</v>
      </c>
      <c r="F5" s="19">
        <v>0.50900634480487272</v>
      </c>
      <c r="G5" s="19"/>
      <c r="H5" s="230">
        <v>0.50148466200568476</v>
      </c>
      <c r="I5" s="19"/>
      <c r="J5" s="19">
        <f>J4/J3</f>
        <v>0.46422096619387865</v>
      </c>
      <c r="K5" s="19">
        <f t="shared" ref="K5:S5" si="3">K4/K3</f>
        <v>0.50365107558713251</v>
      </c>
      <c r="L5" s="19">
        <f t="shared" si="3"/>
        <v>0.46132740081572132</v>
      </c>
      <c r="M5" s="19">
        <f t="shared" si="3"/>
        <v>0.48377802831015898</v>
      </c>
      <c r="N5" s="19"/>
      <c r="O5" s="230">
        <f t="shared" si="3"/>
        <v>0.48037165226082296</v>
      </c>
      <c r="P5" s="19"/>
      <c r="Q5" s="8">
        <f t="shared" si="3"/>
        <v>0.41028938906752421</v>
      </c>
      <c r="R5" s="8">
        <f t="shared" si="3"/>
        <v>0.45303646955550242</v>
      </c>
      <c r="S5" s="8">
        <f t="shared" si="3"/>
        <v>0.43348907516833862</v>
      </c>
      <c r="T5" s="8">
        <f t="shared" ref="T5:U5" si="4">T4/T3</f>
        <v>0.45779420825631545</v>
      </c>
      <c r="U5" s="8">
        <f t="shared" si="4"/>
        <v>0.43818536878473757</v>
      </c>
      <c r="V5" s="19"/>
      <c r="W5" s="231">
        <f t="shared" ref="W5" si="5">W4/W3</f>
        <v>0.43565778739403394</v>
      </c>
      <c r="X5" s="5"/>
      <c r="Y5" s="8">
        <v>0.42970066087857978</v>
      </c>
      <c r="Z5" s="77">
        <f t="shared" ref="Z5:AA5" si="6">Z4/Z3</f>
        <v>0.4529855868222375</v>
      </c>
      <c r="AA5" s="77">
        <f t="shared" si="6"/>
        <v>0.44024187079656957</v>
      </c>
      <c r="AB5" s="77">
        <v>0.40799999999999997</v>
      </c>
      <c r="AC5" s="5"/>
      <c r="AD5" s="231">
        <f t="shared" ref="AD5" si="7">AD4/AD3</f>
        <v>0.43699256718124652</v>
      </c>
      <c r="AE5" s="5"/>
      <c r="AF5" s="77">
        <f t="shared" ref="AF5" si="8">AF4/AF3</f>
        <v>0.42982888528976831</v>
      </c>
      <c r="AG5" s="77">
        <f>AG4/AG3</f>
        <v>0.47167305989967545</v>
      </c>
      <c r="AH5" s="77">
        <f t="shared" ref="AH5" si="9">AH4/AH3</f>
        <v>0.49206967013719949</v>
      </c>
      <c r="AI5" s="77">
        <f t="shared" si="1"/>
        <v>-0.92613058744168342</v>
      </c>
      <c r="AJ5" s="5"/>
      <c r="AK5" s="231">
        <f>AK4/AK3</f>
        <v>0.46744102788495967</v>
      </c>
      <c r="AL5" s="5"/>
      <c r="AM5" s="77">
        <f t="shared" ref="AM5" si="10">AM4/AM3</f>
        <v>0.49032943676939422</v>
      </c>
      <c r="AN5" s="77">
        <f>AN4/AN3</f>
        <v>0.47505678472280644</v>
      </c>
      <c r="AO5" s="77">
        <f>AO4/AO3</f>
        <v>0.48020312951570959</v>
      </c>
      <c r="AP5" s="77">
        <f>AP4/AP3</f>
        <v>0.43006921407216248</v>
      </c>
      <c r="AQ5" s="5"/>
      <c r="AR5" s="231">
        <f>AR4/AR3</f>
        <v>0.46753332164152922</v>
      </c>
      <c r="AT5" s="77">
        <f t="shared" ref="AT5:AV5" si="11">AT4/AT3</f>
        <v>0.46451237827624631</v>
      </c>
      <c r="AU5" s="77">
        <f t="shared" si="11"/>
        <v>0.4545679521550835</v>
      </c>
      <c r="AV5" s="77">
        <f t="shared" si="11"/>
        <v>0.48304805793285044</v>
      </c>
      <c r="AW5" s="77">
        <f>AW4/AW3</f>
        <v>0.45976282076706487</v>
      </c>
      <c r="AX5" s="5"/>
      <c r="AY5" s="231">
        <f>AY4/AY3</f>
        <v>0.4654619026937703</v>
      </c>
      <c r="BA5" s="77">
        <f>BA4/BA3</f>
        <v>0.51421748551718027</v>
      </c>
      <c r="BB5" s="77">
        <f>BB4/BB3</f>
        <v>0.49524949791441364</v>
      </c>
      <c r="BC5" s="77">
        <v>0.51246887292937304</v>
      </c>
      <c r="BD5" s="77"/>
      <c r="BE5" s="5"/>
      <c r="BF5" s="231"/>
    </row>
    <row r="6" spans="1:58" ht="21.75" customHeight="1">
      <c r="A6" s="1" t="s">
        <v>90</v>
      </c>
      <c r="B6" s="1" t="s">
        <v>91</v>
      </c>
      <c r="C6" s="20">
        <v>-385.73942563875119</v>
      </c>
      <c r="D6" s="20">
        <v>-500.93376673085311</v>
      </c>
      <c r="E6" s="20">
        <v>-560.04882558875966</v>
      </c>
      <c r="F6" s="20">
        <v>-668.86237655755485</v>
      </c>
      <c r="G6" s="20"/>
      <c r="H6" s="7">
        <v>-2115.6843945159189</v>
      </c>
      <c r="I6" s="20"/>
      <c r="J6" s="20">
        <v>-544.4</v>
      </c>
      <c r="K6" s="20">
        <v>-615.5</v>
      </c>
      <c r="L6" s="20">
        <v>-573.5999999999998</v>
      </c>
      <c r="M6" s="20">
        <v>-662.20000000000027</v>
      </c>
      <c r="N6" s="20"/>
      <c r="O6" s="7">
        <f t="shared" si="0"/>
        <v>-2395.7000000000003</v>
      </c>
      <c r="P6" s="20"/>
      <c r="Q6" s="20">
        <v>-634.1</v>
      </c>
      <c r="R6" s="20">
        <v>-602.9</v>
      </c>
      <c r="S6" s="20">
        <v>-640.4</v>
      </c>
      <c r="T6" s="20" t="s">
        <v>92</v>
      </c>
      <c r="U6" s="20">
        <f>W6-S6-R6-Q6</f>
        <v>-977.4</v>
      </c>
      <c r="V6" s="20"/>
      <c r="W6" s="78">
        <v>-2854.8</v>
      </c>
      <c r="X6" s="5"/>
      <c r="Y6" s="20">
        <v>-596.4</v>
      </c>
      <c r="Z6" s="20">
        <v>-608.59999999999991</v>
      </c>
      <c r="AA6" s="20">
        <v>-696.87</v>
      </c>
      <c r="AB6" s="39">
        <v>-747.3</v>
      </c>
      <c r="AC6" s="5"/>
      <c r="AD6" s="78">
        <f>SUM(Y6:AB6)</f>
        <v>-2649.17</v>
      </c>
      <c r="AE6" s="5"/>
      <c r="AF6" s="20">
        <v>-711.80000000000018</v>
      </c>
      <c r="AG6" s="20">
        <v>-878.3</v>
      </c>
      <c r="AH6" s="20">
        <v>-953.80000000000007</v>
      </c>
      <c r="AI6" s="39">
        <f t="shared" si="1"/>
        <v>-1040.5</v>
      </c>
      <c r="AJ6" s="5"/>
      <c r="AK6" s="78">
        <f>-(3204.9+379.5)</f>
        <v>-3584.4</v>
      </c>
      <c r="AM6" s="20">
        <v>-947.6</v>
      </c>
      <c r="AN6" s="20">
        <v>-1027.4999999999998</v>
      </c>
      <c r="AO6" s="20">
        <v>-1118.2</v>
      </c>
      <c r="AP6" s="39">
        <f t="shared" si="2"/>
        <v>-1121.3000000000002</v>
      </c>
      <c r="AQ6" s="5"/>
      <c r="AR6" s="78">
        <f>-3815.1-399.5</f>
        <v>-4214.6000000000004</v>
      </c>
      <c r="AT6" s="20">
        <v>-1039.3000000000002</v>
      </c>
      <c r="AU6" s="20">
        <v>-1059.9000000000001</v>
      </c>
      <c r="AV6" s="20">
        <v>-1062.2000000000003</v>
      </c>
      <c r="AW6" s="39">
        <f>AY6-SUM(AT6:AV6)</f>
        <v>-1090.4999999999991</v>
      </c>
      <c r="AX6" s="5"/>
      <c r="AY6" s="78">
        <v>-4251.8999999999996</v>
      </c>
      <c r="BA6" s="20">
        <v>-1027.9000000000001</v>
      </c>
      <c r="BB6" s="20">
        <v>-1038.4999999999998</v>
      </c>
      <c r="BC6" s="20">
        <v>-1091.5</v>
      </c>
      <c r="BD6" s="39"/>
      <c r="BE6" s="5"/>
      <c r="BF6" s="78"/>
    </row>
    <row r="7" spans="1:58" ht="21.75" customHeight="1">
      <c r="A7" s="1" t="s">
        <v>93</v>
      </c>
      <c r="B7" s="1" t="s">
        <v>299</v>
      </c>
      <c r="C7" s="20">
        <v>-4.3657270656960003</v>
      </c>
      <c r="D7" s="20">
        <v>70.885160116815996</v>
      </c>
      <c r="E7" s="20">
        <v>26.320671539190005</v>
      </c>
      <c r="F7" s="20">
        <v>25.343573420977009</v>
      </c>
      <c r="G7" s="20"/>
      <c r="H7" s="7">
        <v>118.28367801128701</v>
      </c>
      <c r="I7" s="20"/>
      <c r="J7" s="20">
        <v>-2.8</v>
      </c>
      <c r="K7" s="20">
        <v>8.6999999999999993</v>
      </c>
      <c r="L7" s="20">
        <f>-2.6</f>
        <v>-2.6</v>
      </c>
      <c r="M7" s="20">
        <v>4.0999999999999996</v>
      </c>
      <c r="N7" s="20"/>
      <c r="O7" s="7">
        <v>7.4</v>
      </c>
      <c r="P7" s="20"/>
      <c r="Q7" s="20">
        <v>-12.799999999999997</v>
      </c>
      <c r="R7" s="20">
        <v>-197.1</v>
      </c>
      <c r="S7" s="20">
        <v>10.709920396987808</v>
      </c>
      <c r="T7" s="20" t="s">
        <v>92</v>
      </c>
      <c r="U7" s="20">
        <f>W7-S7-R7-Q7</f>
        <v>-29.199560757366797</v>
      </c>
      <c r="V7" s="20"/>
      <c r="W7" s="78">
        <v>-228.38964036037899</v>
      </c>
      <c r="X7" s="5"/>
      <c r="Y7" s="20">
        <v>-22.9</v>
      </c>
      <c r="Z7" s="20">
        <v>-181.43815820616999</v>
      </c>
      <c r="AA7" s="20">
        <v>-11.8</v>
      </c>
      <c r="AB7" s="39">
        <v>-6.9</v>
      </c>
      <c r="AC7" s="5"/>
      <c r="AD7" s="78">
        <f t="shared" ref="AD7:AD8" si="12">SUM(Y7:AB7)</f>
        <v>-223.03815820617001</v>
      </c>
      <c r="AE7" s="5"/>
      <c r="AF7" s="20">
        <v>0.38616674823608577</v>
      </c>
      <c r="AG7" s="20">
        <v>-3.0000000000000036</v>
      </c>
      <c r="AH7" s="20">
        <v>15.900000000000009</v>
      </c>
      <c r="AI7" s="39">
        <f t="shared" si="1"/>
        <v>50.013833251763913</v>
      </c>
      <c r="AJ7" s="5"/>
      <c r="AK7" s="78">
        <f>118.4-60.2+5.1</f>
        <v>63.300000000000004</v>
      </c>
      <c r="AM7" s="20">
        <v>-31.7</v>
      </c>
      <c r="AN7" s="20">
        <v>-70.599999999999994</v>
      </c>
      <c r="AO7" s="20">
        <v>-20.899999999999995</v>
      </c>
      <c r="AP7" s="39">
        <f t="shared" si="2"/>
        <v>21.09999999999998</v>
      </c>
      <c r="AQ7" s="5"/>
      <c r="AR7" s="78">
        <f>62.5-119.9-44.7</f>
        <v>-102.10000000000001</v>
      </c>
      <c r="AT7" s="20">
        <v>13.5</v>
      </c>
      <c r="AU7" s="20">
        <f>38.5+7.9-9.3</f>
        <v>37.099999999999994</v>
      </c>
      <c r="AV7" s="20">
        <v>-35.600000000000016</v>
      </c>
      <c r="AW7" s="595">
        <f>AY7-SUM(AT7:AV7)</f>
        <v>26.700000000000024</v>
      </c>
      <c r="AX7" s="5"/>
      <c r="AY7" s="78">
        <v>41.7</v>
      </c>
      <c r="BA7" s="20">
        <v>15.7</v>
      </c>
      <c r="BB7" s="20">
        <v>18.700000000000006</v>
      </c>
      <c r="BC7" s="20">
        <v>-0.50000000000000577</v>
      </c>
      <c r="BD7" s="595"/>
      <c r="BE7" s="5"/>
      <c r="BF7" s="78"/>
    </row>
    <row r="8" spans="1:58" ht="21.75" customHeight="1" thickBot="1">
      <c r="A8" s="159" t="s">
        <v>94</v>
      </c>
      <c r="B8" s="159" t="s">
        <v>95</v>
      </c>
      <c r="C8" s="160">
        <v>-78.023469790479112</v>
      </c>
      <c r="D8" s="160">
        <v>247.74189219199491</v>
      </c>
      <c r="E8" s="160">
        <v>30.126034292585132</v>
      </c>
      <c r="F8" s="161">
        <v>172.5498170754579</v>
      </c>
      <c r="G8" s="161"/>
      <c r="H8" s="162">
        <v>372.49427376955873</v>
      </c>
      <c r="I8" s="158"/>
      <c r="J8" s="160">
        <v>-111.9</v>
      </c>
      <c r="K8" s="160">
        <v>158.80000000000001</v>
      </c>
      <c r="L8" s="160">
        <v>45.9</v>
      </c>
      <c r="M8" s="161">
        <v>114.3</v>
      </c>
      <c r="N8" s="161"/>
      <c r="O8" s="163">
        <v>207.1</v>
      </c>
      <c r="P8" s="158"/>
      <c r="Q8" s="160">
        <v>-264.09999999999991</v>
      </c>
      <c r="R8" s="160">
        <v>-232.3</v>
      </c>
      <c r="S8" s="160">
        <v>1.2099203969879113</v>
      </c>
      <c r="T8" s="160">
        <v>-31</v>
      </c>
      <c r="U8" s="160">
        <f>W8-S8-R8-Q8</f>
        <v>-131.49956075736799</v>
      </c>
      <c r="V8" s="160"/>
      <c r="W8" s="162">
        <v>-626.68964036038005</v>
      </c>
      <c r="X8" s="166"/>
      <c r="Y8" s="160">
        <v>-287.69999999999993</v>
      </c>
      <c r="Z8" s="160">
        <v>-130.03815820616995</v>
      </c>
      <c r="AA8" s="160">
        <v>5</v>
      </c>
      <c r="AB8" s="161">
        <v>-166.4</v>
      </c>
      <c r="AC8" s="166"/>
      <c r="AD8" s="162">
        <f t="shared" si="12"/>
        <v>-579.13815820616992</v>
      </c>
      <c r="AE8" s="166"/>
      <c r="AF8" s="160">
        <f>AF4+AF6+AF7</f>
        <v>-101.01383325176411</v>
      </c>
      <c r="AG8" s="160">
        <f>AG4+AG6+AG7</f>
        <v>77.800000000000182</v>
      </c>
      <c r="AH8" s="160">
        <f>AH7+AH6+AH4</f>
        <v>73.499999999999545</v>
      </c>
      <c r="AI8" s="161">
        <f t="shared" si="1"/>
        <v>-46.186166748235614</v>
      </c>
      <c r="AJ8" s="166"/>
      <c r="AK8" s="162">
        <v>4.0999999999999996</v>
      </c>
      <c r="AM8" s="160">
        <f>AM4+AM6+AM7</f>
        <v>-56.500000000000071</v>
      </c>
      <c r="AN8" s="160">
        <v>31.300000000000239</v>
      </c>
      <c r="AO8" s="160">
        <v>24.000000000000266</v>
      </c>
      <c r="AP8" s="161">
        <f t="shared" si="2"/>
        <v>-50.100000000000435</v>
      </c>
      <c r="AQ8" s="166"/>
      <c r="AR8" s="162">
        <v>-51.3</v>
      </c>
      <c r="AT8" s="160">
        <v>-67.000000000000142</v>
      </c>
      <c r="AU8" s="160">
        <v>79.3</v>
      </c>
      <c r="AV8" s="160">
        <v>76.199999999999378</v>
      </c>
      <c r="AW8" s="161">
        <f>AY8-SUM(AT8:AV8)</f>
        <v>95.400000000000261</v>
      </c>
      <c r="AX8" s="166"/>
      <c r="AY8" s="162">
        <v>183.89999999999949</v>
      </c>
      <c r="BA8" s="160">
        <v>150.6</v>
      </c>
      <c r="BB8" s="160">
        <v>262.49999999999983</v>
      </c>
      <c r="BC8" s="160">
        <v>327.99999999999943</v>
      </c>
      <c r="BD8" s="161"/>
      <c r="BE8" s="166"/>
      <c r="BF8" s="162"/>
    </row>
    <row r="9" spans="1:58" ht="21.75" customHeight="1" thickTop="1">
      <c r="A9" s="2" t="s">
        <v>96</v>
      </c>
      <c r="B9" s="2" t="s">
        <v>96</v>
      </c>
      <c r="C9" s="20">
        <v>29.526924299461967</v>
      </c>
      <c r="D9" s="20">
        <v>378.10721795059851</v>
      </c>
      <c r="E9" s="20">
        <v>164.23802867008948</v>
      </c>
      <c r="F9" s="20">
        <v>331.86925135506897</v>
      </c>
      <c r="G9" s="20"/>
      <c r="H9" s="234">
        <v>903.84142227521886</v>
      </c>
      <c r="I9" s="20"/>
      <c r="J9" s="20">
        <f>J8-J16</f>
        <v>45.299999999999983</v>
      </c>
      <c r="K9" s="20">
        <f>K8-K16</f>
        <v>297.10000000000002</v>
      </c>
      <c r="L9" s="20">
        <f t="shared" ref="L9:U9" si="13">L8-L16</f>
        <v>194.4</v>
      </c>
      <c r="M9" s="20">
        <f t="shared" si="13"/>
        <v>277.50000000000006</v>
      </c>
      <c r="N9" s="20"/>
      <c r="O9" s="234">
        <f t="shared" si="13"/>
        <v>814.30000000000007</v>
      </c>
      <c r="P9" s="20"/>
      <c r="Q9" s="7">
        <f t="shared" si="13"/>
        <v>-105.27999999999992</v>
      </c>
      <c r="R9" s="7">
        <f t="shared" si="13"/>
        <v>-69.100000000000023</v>
      </c>
      <c r="S9" s="7">
        <f t="shared" si="13"/>
        <v>166.10992039698792</v>
      </c>
      <c r="T9" s="7">
        <v>117</v>
      </c>
      <c r="U9" s="7">
        <f t="shared" si="13"/>
        <v>19.480439242632031</v>
      </c>
      <c r="V9" s="20"/>
      <c r="W9" s="233">
        <f t="shared" ref="W9" si="14">W8-W16</f>
        <v>11.210359639619924</v>
      </c>
      <c r="X9" s="5"/>
      <c r="Y9" s="7">
        <v>-141.69999999999993</v>
      </c>
      <c r="Z9" s="78">
        <f>Z8-Z16</f>
        <v>21.961841793830047</v>
      </c>
      <c r="AA9" s="78">
        <f>AA8-AA16</f>
        <v>146.20000000000002</v>
      </c>
      <c r="AB9" s="78">
        <f>AB8-AB16</f>
        <v>-38.900000000000006</v>
      </c>
      <c r="AC9" s="5"/>
      <c r="AD9" s="233">
        <f>SUM(Y9:AB9)</f>
        <v>-12.438158206169874</v>
      </c>
      <c r="AE9" s="5"/>
      <c r="AF9" s="78">
        <f t="shared" ref="AF9" si="15">AF8-AF16</f>
        <v>31.086166748235854</v>
      </c>
      <c r="AG9" s="78">
        <f>AG8-AG16</f>
        <v>225.50000000000023</v>
      </c>
      <c r="AH9" s="78">
        <f t="shared" ref="AH9" si="16">AH8-AH16</f>
        <v>211.89999999999952</v>
      </c>
      <c r="AI9" s="78">
        <f t="shared" si="1"/>
        <v>96.913833251764345</v>
      </c>
      <c r="AJ9" s="5"/>
      <c r="AK9" s="233">
        <f>AK8-AK16</f>
        <v>565.4</v>
      </c>
      <c r="AM9" s="78">
        <f t="shared" ref="AM9" si="17">AM8-AM16</f>
        <v>89.29999999999994</v>
      </c>
      <c r="AN9" s="78">
        <v>179.00000000000023</v>
      </c>
      <c r="AO9" s="78">
        <f>AO8-AO16</f>
        <v>172.90000000000023</v>
      </c>
      <c r="AP9" s="78">
        <f t="shared" si="2"/>
        <v>89.699999999999704</v>
      </c>
      <c r="AQ9" s="5"/>
      <c r="AR9" s="233">
        <f>AR8-AR16</f>
        <v>530.90000000000009</v>
      </c>
      <c r="AT9" s="78">
        <f t="shared" ref="AT9:AV9" si="18">AT8-AT16</f>
        <v>88.599999999999852</v>
      </c>
      <c r="AU9" s="78">
        <f t="shared" si="18"/>
        <v>223.8</v>
      </c>
      <c r="AV9" s="78">
        <f t="shared" si="18"/>
        <v>229.49999999999937</v>
      </c>
      <c r="AW9" s="78">
        <f>AW8-AW16</f>
        <v>236.50000000000023</v>
      </c>
      <c r="AX9" s="5"/>
      <c r="AY9" s="233">
        <f>AY8-AY16</f>
        <v>778.39999999999952</v>
      </c>
      <c r="BA9" s="78">
        <v>300.5</v>
      </c>
      <c r="BB9" s="78">
        <v>406.9</v>
      </c>
      <c r="BC9" s="78">
        <v>478.99999999999943</v>
      </c>
      <c r="BD9" s="78"/>
      <c r="BE9" s="5"/>
      <c r="BF9" s="233"/>
    </row>
    <row r="10" spans="1:58" ht="21.75" customHeight="1">
      <c r="A10" s="1" t="s">
        <v>97</v>
      </c>
      <c r="B10" s="1" t="s">
        <v>98</v>
      </c>
      <c r="C10" s="19">
        <v>4.4823456950919764E-2</v>
      </c>
      <c r="D10" s="19">
        <v>0.29756074516345871</v>
      </c>
      <c r="E10" s="19">
        <v>0.13767131536059107</v>
      </c>
      <c r="F10" s="19">
        <v>0.20699675297094808</v>
      </c>
      <c r="G10" s="19"/>
      <c r="H10" s="8">
        <v>0.19125852074314242</v>
      </c>
      <c r="I10" s="19"/>
      <c r="J10" s="19">
        <f>J9/J3</f>
        <v>4.8309693931961162E-2</v>
      </c>
      <c r="K10" s="19">
        <f t="shared" ref="K10:S10" si="19">K9/K3</f>
        <v>0.19544766791658447</v>
      </c>
      <c r="L10" s="19">
        <f t="shared" si="19"/>
        <v>0.14416017797552841</v>
      </c>
      <c r="M10" s="19">
        <f t="shared" si="19"/>
        <v>0.17380683953400977</v>
      </c>
      <c r="N10" s="19"/>
      <c r="O10" s="8">
        <f t="shared" si="19"/>
        <v>0.15071535656776919</v>
      </c>
      <c r="P10" s="19"/>
      <c r="Q10" s="8">
        <f t="shared" si="19"/>
        <v>-0.11284030010718105</v>
      </c>
      <c r="R10" s="8">
        <f t="shared" si="19"/>
        <v>-5.5143244753012549E-2</v>
      </c>
      <c r="S10" s="8">
        <f t="shared" si="19"/>
        <v>0.11413351683179052</v>
      </c>
      <c r="T10" s="8">
        <f t="shared" ref="T10:U10" si="20">T9/T3</f>
        <v>7.2088724584103508E-2</v>
      </c>
      <c r="U10" s="8">
        <f t="shared" si="20"/>
        <v>9.7543634483160703E-3</v>
      </c>
      <c r="V10" s="19"/>
      <c r="W10" s="77">
        <f t="shared" ref="W10" si="21">W9/W3</f>
        <v>1.9881459297733345E-3</v>
      </c>
      <c r="X10" s="5"/>
      <c r="Y10" s="232">
        <f>Y9/Y3</f>
        <v>-0.18362057794479711</v>
      </c>
      <c r="Z10" s="232">
        <f t="shared" ref="Z10:AB10" si="22">Z9/Z3</f>
        <v>1.5073329988901886E-2</v>
      </c>
      <c r="AA10" s="232">
        <f t="shared" si="22"/>
        <v>9.0207934842969087E-2</v>
      </c>
      <c r="AB10" s="232">
        <f t="shared" si="22"/>
        <v>-2.7833428734974248E-2</v>
      </c>
      <c r="AC10" s="5"/>
      <c r="AD10" s="77">
        <f t="shared" ref="AD10" si="23">AD9/AD3</f>
        <v>-2.3705275788393127E-3</v>
      </c>
      <c r="AE10" s="5"/>
      <c r="AF10" s="232">
        <f t="shared" ref="AF10" si="24">AF9/AF3</f>
        <v>2.1890125165999474E-2</v>
      </c>
      <c r="AG10" s="232">
        <f>AG9/AG3</f>
        <v>0.11089800334415276</v>
      </c>
      <c r="AH10" s="232">
        <f t="shared" ref="AH10" si="25">AH9/AH3</f>
        <v>0.10309428821640536</v>
      </c>
      <c r="AI10" s="232">
        <f t="shared" si="1"/>
        <v>-0.16091258233908526</v>
      </c>
      <c r="AJ10" s="5"/>
      <c r="AK10" s="77">
        <f>AK9/AK3</f>
        <v>7.4969834387472317E-2</v>
      </c>
      <c r="AM10" s="232">
        <f t="shared" ref="AM10" si="26">AM9/AM3</f>
        <v>4.7449521785334715E-2</v>
      </c>
      <c r="AN10" s="232">
        <v>7.5292336165559109E-2</v>
      </c>
      <c r="AO10" s="232">
        <f>AO9/AO3</f>
        <v>7.1384335906857777E-2</v>
      </c>
      <c r="AP10" s="232">
        <f>AP9/AP3</f>
        <v>3.6736699840275083E-2</v>
      </c>
      <c r="AQ10" s="5"/>
      <c r="AR10" s="77">
        <f>AR9/AR3</f>
        <v>5.8192300947036132E-2</v>
      </c>
      <c r="AT10" s="232">
        <f t="shared" ref="AT10:AV10" si="27">AT9/AT3</f>
        <v>4.2924276924567538E-2</v>
      </c>
      <c r="AU10" s="232">
        <f t="shared" si="27"/>
        <v>9.2307692307692313E-2</v>
      </c>
      <c r="AV10" s="232">
        <f t="shared" si="27"/>
        <v>9.4428900592494813E-2</v>
      </c>
      <c r="AW10" s="232">
        <f>AW9/AW3</f>
        <v>9.3800817038829296E-2</v>
      </c>
      <c r="AX10" s="5"/>
      <c r="AY10" s="77">
        <f>AY9/AY3</f>
        <v>8.2455006726481109E-2</v>
      </c>
      <c r="BA10" s="232">
        <f>BA9/BA3</f>
        <v>0.1328881616769115</v>
      </c>
      <c r="BB10" s="232">
        <f>BB9/BB3</f>
        <v>0.15715278850610229</v>
      </c>
      <c r="BC10" s="232">
        <v>0.17286802122054187</v>
      </c>
      <c r="BD10" s="232"/>
      <c r="BE10" s="5"/>
      <c r="BF10" s="77"/>
    </row>
    <row r="11" spans="1:58" ht="21.75" customHeight="1">
      <c r="A11" s="1" t="s">
        <v>99</v>
      </c>
      <c r="B11" s="1" t="s">
        <v>303</v>
      </c>
      <c r="C11" s="20">
        <v>-15.571235721007991</v>
      </c>
      <c r="D11" s="20">
        <v>-28.73783225716538</v>
      </c>
      <c r="E11" s="20">
        <v>-33.717151152647659</v>
      </c>
      <c r="F11" s="20">
        <v>-38.059389345415852</v>
      </c>
      <c r="G11" s="20"/>
      <c r="H11" s="7">
        <v>-116.08560847623687</v>
      </c>
      <c r="I11" s="20"/>
      <c r="J11" s="20">
        <v>-24.6</v>
      </c>
      <c r="K11" s="20">
        <v>-37.200000000000003</v>
      </c>
      <c r="L11" s="20">
        <v>-39.6</v>
      </c>
      <c r="M11" s="20">
        <v>-0.4</v>
      </c>
      <c r="N11" s="20"/>
      <c r="O11" s="7">
        <v>-101.8</v>
      </c>
      <c r="P11" s="20"/>
      <c r="Q11" s="20">
        <v>-83</v>
      </c>
      <c r="R11" s="20">
        <v>-119.7</v>
      </c>
      <c r="S11" s="20">
        <v>-45.9</v>
      </c>
      <c r="T11" s="20" t="s">
        <v>92</v>
      </c>
      <c r="U11" s="20">
        <f>W11-S11-R11-Q11</f>
        <v>-93</v>
      </c>
      <c r="V11" s="20"/>
      <c r="W11" s="78">
        <v>-341.59999999999997</v>
      </c>
      <c r="X11" s="5"/>
      <c r="Y11" s="20">
        <v>-106.1</v>
      </c>
      <c r="Z11" s="20">
        <v>-85.90000000000002</v>
      </c>
      <c r="AA11" s="20">
        <v>-46.6</v>
      </c>
      <c r="AB11" s="39">
        <v>-70.7</v>
      </c>
      <c r="AC11" s="5"/>
      <c r="AD11" s="78">
        <f>SUM(Y11:AB11)</f>
        <v>-309.3</v>
      </c>
      <c r="AE11" s="5"/>
      <c r="AF11" s="20">
        <v>-29.099999999999994</v>
      </c>
      <c r="AG11" s="20">
        <v>-35.400000000000006</v>
      </c>
      <c r="AH11" s="20">
        <v>-40.899999999999984</v>
      </c>
      <c r="AI11" s="39">
        <f t="shared" si="1"/>
        <v>-47</v>
      </c>
      <c r="AJ11" s="5"/>
      <c r="AK11" s="78">
        <f>42.4-195.2+0.4</f>
        <v>-152.39999999999998</v>
      </c>
      <c r="AM11" s="20">
        <v>-98</v>
      </c>
      <c r="AN11" s="20">
        <v>-88.6</v>
      </c>
      <c r="AO11" s="20">
        <v>-89</v>
      </c>
      <c r="AP11" s="39">
        <f t="shared" si="2"/>
        <v>-71.999999999999943</v>
      </c>
      <c r="AQ11" s="5"/>
      <c r="AR11" s="78">
        <f>54-401.9+0.3</f>
        <v>-347.59999999999997</v>
      </c>
      <c r="AT11" s="20">
        <v>-87.1</v>
      </c>
      <c r="AU11" s="20">
        <f>49.2-102.5</f>
        <v>-53.3</v>
      </c>
      <c r="AV11" s="20">
        <v>-104.4</v>
      </c>
      <c r="AW11" s="39">
        <f t="shared" ref="AW11:AW13" si="28">AY11-SUM(AT11:AV11)</f>
        <v>-77.299999999999983</v>
      </c>
      <c r="AX11" s="5"/>
      <c r="AY11" s="78">
        <v>-322.09999999999997</v>
      </c>
      <c r="BA11" s="20">
        <v>-103.8</v>
      </c>
      <c r="BB11" s="20">
        <v>-137.70000000000002</v>
      </c>
      <c r="BC11" s="20">
        <v>-126.09999999999997</v>
      </c>
      <c r="BD11" s="39"/>
      <c r="BE11" s="5"/>
      <c r="BF11" s="78"/>
    </row>
    <row r="12" spans="1:58" ht="21.75" customHeight="1" thickBot="1">
      <c r="A12" s="159" t="s">
        <v>301</v>
      </c>
      <c r="B12" s="159" t="s">
        <v>302</v>
      </c>
      <c r="C12" s="164">
        <v>-93.594705511487106</v>
      </c>
      <c r="D12" s="164">
        <v>219.00405993482951</v>
      </c>
      <c r="E12" s="164">
        <v>-3.5911168600625274</v>
      </c>
      <c r="F12" s="165">
        <v>134.49042773004203</v>
      </c>
      <c r="G12" s="165"/>
      <c r="H12" s="165">
        <v>256.40866529332186</v>
      </c>
      <c r="I12" s="158"/>
      <c r="J12" s="164">
        <v>-136.5</v>
      </c>
      <c r="K12" s="164">
        <v>121.6</v>
      </c>
      <c r="L12" s="164">
        <v>6.3</v>
      </c>
      <c r="M12" s="165">
        <v>113.9</v>
      </c>
      <c r="N12" s="165"/>
      <c r="O12" s="164">
        <v>105.3</v>
      </c>
      <c r="P12" s="158"/>
      <c r="Q12" s="164">
        <v>-347.09999999999985</v>
      </c>
      <c r="R12" s="164">
        <v>-352</v>
      </c>
      <c r="S12" s="164">
        <v>-44.7</v>
      </c>
      <c r="T12" s="164" t="s">
        <v>92</v>
      </c>
      <c r="U12" s="164">
        <f>W12-S12-R12-Q12</f>
        <v>-224.48964036038006</v>
      </c>
      <c r="V12" s="164"/>
      <c r="W12" s="165">
        <v>-968.28964036037996</v>
      </c>
      <c r="X12" s="166"/>
      <c r="Y12" s="164">
        <v>-393.79999999999995</v>
      </c>
      <c r="Z12" s="164">
        <v>-215.93815820616996</v>
      </c>
      <c r="AA12" s="164">
        <v>-41.6</v>
      </c>
      <c r="AB12" s="165">
        <v>-237.1</v>
      </c>
      <c r="AC12" s="166"/>
      <c r="AD12" s="162">
        <f t="shared" ref="AD12:AD16" si="29">SUM(Y12:AB12)</f>
        <v>-888.43815820616999</v>
      </c>
      <c r="AE12" s="166"/>
      <c r="AF12" s="164">
        <f>AF8+AF11</f>
        <v>-130.11383325176411</v>
      </c>
      <c r="AG12" s="164">
        <f>AG11+AG8</f>
        <v>42.400000000000176</v>
      </c>
      <c r="AH12" s="164">
        <f t="shared" ref="AH12" si="30">AH11+AH8</f>
        <v>32.599999999999561</v>
      </c>
      <c r="AI12" s="165">
        <f t="shared" si="1"/>
        <v>-93.186166748235649</v>
      </c>
      <c r="AJ12" s="477"/>
      <c r="AK12" s="162">
        <v>-148.30000000000001</v>
      </c>
      <c r="AM12" s="164">
        <f>AM8+AM11</f>
        <v>-154.50000000000006</v>
      </c>
      <c r="AN12" s="164">
        <v>-57.299999999999763</v>
      </c>
      <c r="AO12" s="164">
        <v>-64.999999999999744</v>
      </c>
      <c r="AP12" s="165">
        <f t="shared" si="2"/>
        <v>-122.10000000000042</v>
      </c>
      <c r="AQ12" s="166"/>
      <c r="AR12" s="162">
        <v>-398.9</v>
      </c>
      <c r="AT12" s="164">
        <v>-154.10000000000014</v>
      </c>
      <c r="AU12" s="164">
        <v>26</v>
      </c>
      <c r="AV12" s="164">
        <v>-28.800000000000637</v>
      </c>
      <c r="AW12" s="165">
        <f t="shared" si="28"/>
        <v>18.700000000000273</v>
      </c>
      <c r="AX12" s="166"/>
      <c r="AY12" s="162">
        <v>-138.2000000000005</v>
      </c>
      <c r="BA12" s="164">
        <v>46.800000000000153</v>
      </c>
      <c r="BB12" s="164">
        <v>124.79999999999984</v>
      </c>
      <c r="BC12" s="164">
        <v>201.89999999999944</v>
      </c>
      <c r="BD12" s="165"/>
      <c r="BE12" s="166"/>
      <c r="BF12" s="162"/>
    </row>
    <row r="13" spans="1:58" ht="21.75" customHeight="1" thickTop="1">
      <c r="A13" s="2" t="s">
        <v>102</v>
      </c>
      <c r="B13" s="2" t="s">
        <v>103</v>
      </c>
      <c r="C13" s="20">
        <v>-6.2299786235039996</v>
      </c>
      <c r="D13" s="20">
        <v>-2.4454509464960008</v>
      </c>
      <c r="E13" s="20">
        <v>-15.708794821889997</v>
      </c>
      <c r="F13" s="20">
        <v>-8.4053372771780026</v>
      </c>
      <c r="G13" s="20"/>
      <c r="H13" s="7">
        <v>-32.889561669068001</v>
      </c>
      <c r="I13" s="20"/>
      <c r="J13" s="20">
        <v>20.8</v>
      </c>
      <c r="K13" s="20">
        <v>-18.8</v>
      </c>
      <c r="L13" s="20">
        <v>-18.8</v>
      </c>
      <c r="M13" s="20">
        <v>9.6999999999999993</v>
      </c>
      <c r="N13" s="20"/>
      <c r="O13" s="7">
        <v>-9.6999999999999993</v>
      </c>
      <c r="P13" s="20"/>
      <c r="Q13" s="20">
        <v>31.099999999999998</v>
      </c>
      <c r="R13" s="20">
        <v>2.2000000000000002</v>
      </c>
      <c r="S13" s="20">
        <v>2.2999999999999998</v>
      </c>
      <c r="T13" s="20" t="s">
        <v>92</v>
      </c>
      <c r="U13" s="20">
        <f>W13-S13-R13-Q13</f>
        <v>-56.2</v>
      </c>
      <c r="V13" s="20"/>
      <c r="W13" s="78">
        <v>-20.6</v>
      </c>
      <c r="X13" s="5"/>
      <c r="Y13" s="20">
        <v>25.8</v>
      </c>
      <c r="Z13" s="20">
        <v>4.3</v>
      </c>
      <c r="AA13" s="20">
        <v>7.2</v>
      </c>
      <c r="AB13" s="39">
        <v>-58</v>
      </c>
      <c r="AC13" s="5"/>
      <c r="AD13" s="78">
        <f t="shared" si="29"/>
        <v>-20.699999999999996</v>
      </c>
      <c r="AE13" s="5"/>
      <c r="AF13" s="20">
        <v>-3</v>
      </c>
      <c r="AG13" s="20">
        <v>-1.7000000000000002</v>
      </c>
      <c r="AH13" s="20">
        <v>-20.100000000000001</v>
      </c>
      <c r="AI13" s="39">
        <f t="shared" si="1"/>
        <v>-43.5</v>
      </c>
      <c r="AJ13" s="5"/>
      <c r="AK13" s="78">
        <v>-68.3</v>
      </c>
      <c r="AM13" s="20">
        <v>-5.6</v>
      </c>
      <c r="AN13" s="20">
        <v>3.2</v>
      </c>
      <c r="AO13" s="20">
        <v>-10.299999999999999</v>
      </c>
      <c r="AP13" s="39">
        <f t="shared" si="2"/>
        <v>10.1</v>
      </c>
      <c r="AQ13" s="5"/>
      <c r="AR13" s="78">
        <v>-2.6</v>
      </c>
      <c r="AT13" s="20">
        <v>2.1</v>
      </c>
      <c r="AU13" s="20">
        <v>-11.1</v>
      </c>
      <c r="AV13" s="20">
        <v>11.8</v>
      </c>
      <c r="AW13" s="39">
        <f t="shared" si="28"/>
        <v>10.7</v>
      </c>
      <c r="AX13" s="5"/>
      <c r="AY13" s="78">
        <v>13.5</v>
      </c>
      <c r="BA13" s="20">
        <v>3.7</v>
      </c>
      <c r="BB13" s="20">
        <v>129.69999999999999</v>
      </c>
      <c r="BC13" s="20">
        <v>-43.5</v>
      </c>
      <c r="BD13" s="39"/>
      <c r="BE13" s="5"/>
      <c r="BF13" s="78"/>
    </row>
    <row r="14" spans="1:58" ht="21.75" customHeight="1" thickBot="1">
      <c r="A14" s="159" t="s">
        <v>298</v>
      </c>
      <c r="B14" s="159" t="s">
        <v>300</v>
      </c>
      <c r="C14" s="164">
        <v>-99.824684134991102</v>
      </c>
      <c r="D14" s="164">
        <v>216.5586089883335</v>
      </c>
      <c r="E14" s="164">
        <v>-19.299911681952523</v>
      </c>
      <c r="F14" s="165">
        <v>126.08509045286402</v>
      </c>
      <c r="G14" s="165"/>
      <c r="H14" s="165">
        <v>223.51910362425386</v>
      </c>
      <c r="I14" s="158"/>
      <c r="J14" s="164">
        <v>-115.7</v>
      </c>
      <c r="K14" s="164">
        <v>102.8</v>
      </c>
      <c r="L14" s="164">
        <v>-12.5</v>
      </c>
      <c r="M14" s="165">
        <v>121</v>
      </c>
      <c r="N14" s="165"/>
      <c r="O14" s="164">
        <v>95.6</v>
      </c>
      <c r="P14" s="158"/>
      <c r="Q14" s="164">
        <v>-315.99999999999989</v>
      </c>
      <c r="R14" s="164">
        <v>-349.8</v>
      </c>
      <c r="S14" s="164">
        <v>-42.4</v>
      </c>
      <c r="T14" s="164" t="s">
        <v>92</v>
      </c>
      <c r="U14" s="164">
        <f>W14--S14-R14-Q14</f>
        <v>-365.48964036038012</v>
      </c>
      <c r="V14" s="164"/>
      <c r="W14" s="165">
        <v>-988.88964036037999</v>
      </c>
      <c r="X14" s="166"/>
      <c r="Y14" s="164">
        <v>-367.99999999999994</v>
      </c>
      <c r="Z14" s="164">
        <v>-211.63815820616995</v>
      </c>
      <c r="AA14" s="164">
        <v>-34.4</v>
      </c>
      <c r="AB14" s="165">
        <v>-295.10000000000002</v>
      </c>
      <c r="AC14" s="166"/>
      <c r="AD14" s="162">
        <f t="shared" si="29"/>
        <v>-909.13815820616992</v>
      </c>
      <c r="AE14" s="166"/>
      <c r="AF14" s="164">
        <f>AF12+AF13</f>
        <v>-133.11383325176411</v>
      </c>
      <c r="AG14" s="164">
        <f>AG12+AG13</f>
        <v>40.700000000000173</v>
      </c>
      <c r="AH14" s="164">
        <f t="shared" ref="AH14" si="31">AH12+AH13</f>
        <v>12.499999999999559</v>
      </c>
      <c r="AI14" s="165">
        <f t="shared" si="1"/>
        <v>-136.68616674823562</v>
      </c>
      <c r="AJ14" s="477"/>
      <c r="AK14" s="162">
        <v>-216.6</v>
      </c>
      <c r="AM14" s="164">
        <f>AM12+AM13</f>
        <v>-160.10000000000005</v>
      </c>
      <c r="AN14" s="164">
        <v>-54.09999999999976</v>
      </c>
      <c r="AO14" s="164">
        <v>-75.299999999999741</v>
      </c>
      <c r="AP14" s="165">
        <f t="shared" si="2"/>
        <v>-112.00000000000045</v>
      </c>
      <c r="AQ14" s="166"/>
      <c r="AR14" s="162">
        <f>-401.5</f>
        <v>-401.5</v>
      </c>
      <c r="AT14" s="164">
        <v>-152.00000000000014</v>
      </c>
      <c r="AU14" s="164">
        <v>14.9</v>
      </c>
      <c r="AV14" s="164">
        <v>-17.000000000000636</v>
      </c>
      <c r="AW14" s="165">
        <f>AY14-SUM(AT14:AV14)</f>
        <v>29.400000000000261</v>
      </c>
      <c r="AX14" s="166"/>
      <c r="AY14" s="162">
        <v>-124.7000000000005</v>
      </c>
      <c r="BA14" s="164">
        <v>50.500000000000156</v>
      </c>
      <c r="BB14" s="164">
        <v>254.49999999999983</v>
      </c>
      <c r="BC14" s="164">
        <v>158.39999999999944</v>
      </c>
      <c r="BD14" s="165"/>
      <c r="BE14" s="166"/>
      <c r="BF14" s="162"/>
    </row>
    <row r="15" spans="1:58" ht="21.75" customHeight="1" thickTop="1">
      <c r="C15" s="6"/>
      <c r="D15" s="6"/>
      <c r="E15" s="6"/>
      <c r="F15" s="6"/>
      <c r="G15" s="6"/>
      <c r="H15" s="6"/>
      <c r="I15" s="73"/>
      <c r="J15" s="6"/>
      <c r="K15" s="6"/>
      <c r="L15" s="6"/>
      <c r="M15" s="6"/>
      <c r="N15" s="6"/>
      <c r="O15" s="6"/>
      <c r="P15" s="73"/>
      <c r="Q15" s="6"/>
      <c r="R15" s="6"/>
      <c r="S15" s="6"/>
      <c r="T15" s="6"/>
      <c r="U15" s="6"/>
      <c r="V15" s="73"/>
      <c r="W15" s="6"/>
      <c r="X15" s="5"/>
      <c r="Y15" s="6"/>
      <c r="Z15" s="6"/>
      <c r="AA15" s="6"/>
      <c r="AB15" s="6"/>
      <c r="AC15" s="5"/>
      <c r="AD15" s="6"/>
      <c r="AE15" s="5"/>
      <c r="AF15" s="6"/>
      <c r="AG15" s="6"/>
      <c r="AH15" s="6"/>
      <c r="AI15" s="6"/>
      <c r="AJ15" s="5"/>
      <c r="AK15" s="6"/>
      <c r="AM15" s="6"/>
      <c r="AN15" s="6"/>
      <c r="AO15" s="6"/>
      <c r="AP15" s="6"/>
      <c r="AQ15" s="5"/>
      <c r="AR15" s="6"/>
      <c r="AT15" s="6"/>
      <c r="AU15" s="6"/>
      <c r="AV15" s="6"/>
      <c r="AW15" s="6"/>
      <c r="AX15" s="5"/>
      <c r="AY15" s="6"/>
      <c r="BA15" s="6"/>
      <c r="BC15" s="6"/>
      <c r="BD15" s="6"/>
      <c r="BE15" s="5"/>
      <c r="BF15" s="6"/>
    </row>
    <row r="16" spans="1:58" ht="21.75" customHeight="1">
      <c r="A16" s="1" t="s">
        <v>104</v>
      </c>
      <c r="B16" s="1" t="s">
        <v>105</v>
      </c>
      <c r="C16" s="21">
        <v>-107.55039408994108</v>
      </c>
      <c r="D16" s="21">
        <v>-130.36532575860363</v>
      </c>
      <c r="E16" s="21">
        <v>-134.11199437750435</v>
      </c>
      <c r="F16" s="21">
        <v>-159.31943427961107</v>
      </c>
      <c r="G16" s="39"/>
      <c r="H16" s="9">
        <v>-531.34714850566013</v>
      </c>
      <c r="I16" s="39"/>
      <c r="J16" s="21">
        <v>-157.19999999999999</v>
      </c>
      <c r="K16" s="21">
        <v>-138.30000000000001</v>
      </c>
      <c r="L16" s="21">
        <f>-444-K16-J16</f>
        <v>-148.5</v>
      </c>
      <c r="M16" s="21">
        <f>-607.2-L16-K16-J16</f>
        <v>-163.20000000000005</v>
      </c>
      <c r="N16" s="39"/>
      <c r="O16" s="9">
        <f>SUM(J16:M16)</f>
        <v>-607.20000000000005</v>
      </c>
      <c r="P16" s="39"/>
      <c r="Q16" s="21">
        <v>-158.82</v>
      </c>
      <c r="R16" s="21">
        <v>-163.19999999999999</v>
      </c>
      <c r="S16" s="21">
        <v>-164.9</v>
      </c>
      <c r="T16" s="21">
        <f>-T9+T8</f>
        <v>-148</v>
      </c>
      <c r="U16" s="21">
        <f>W16-S16-R16-Q16</f>
        <v>-150.98000000000002</v>
      </c>
      <c r="V16" s="20"/>
      <c r="W16" s="81">
        <v>-637.9</v>
      </c>
      <c r="X16" s="5"/>
      <c r="Y16" s="21">
        <f>-166.2+20.2</f>
        <v>-146</v>
      </c>
      <c r="Z16" s="21">
        <f>-175.8+23.8</f>
        <v>-152</v>
      </c>
      <c r="AA16" s="21">
        <f>-141.3+0.1</f>
        <v>-141.20000000000002</v>
      </c>
      <c r="AB16" s="79">
        <f>-127.6+0.1</f>
        <v>-127.5</v>
      </c>
      <c r="AC16" s="5"/>
      <c r="AD16" s="81">
        <f t="shared" si="29"/>
        <v>-566.70000000000005</v>
      </c>
      <c r="AE16" s="5"/>
      <c r="AF16" s="21">
        <v>-132.09999999999997</v>
      </c>
      <c r="AG16" s="21">
        <f>-279.8-AF16</f>
        <v>-147.70000000000005</v>
      </c>
      <c r="AH16" s="478">
        <f>-418.2-AG16-AF16</f>
        <v>-138.39999999999998</v>
      </c>
      <c r="AI16" s="79">
        <f t="shared" si="1"/>
        <v>-143.09999999999997</v>
      </c>
      <c r="AJ16" s="5"/>
      <c r="AK16" s="81">
        <v>-561.29999999999995</v>
      </c>
      <c r="AM16" s="21">
        <v>-145.80000000000001</v>
      </c>
      <c r="AN16" s="21">
        <v>-147.69999999999999</v>
      </c>
      <c r="AO16" s="21">
        <v>-148.89999999999998</v>
      </c>
      <c r="AP16" s="79">
        <f t="shared" si="2"/>
        <v>-139.80000000000007</v>
      </c>
      <c r="AQ16" s="5"/>
      <c r="AR16" s="81">
        <f>-582.2</f>
        <v>-582.20000000000005</v>
      </c>
      <c r="AT16" s="21">
        <v>-155.6</v>
      </c>
      <c r="AU16" s="21">
        <v>-144.5</v>
      </c>
      <c r="AV16" s="21">
        <v>-153.30000000000001</v>
      </c>
      <c r="AW16" s="79">
        <f>AY16-SUM(AT16:AV16)</f>
        <v>-141.09999999999997</v>
      </c>
      <c r="AX16" s="5"/>
      <c r="AY16" s="81">
        <v>-594.5</v>
      </c>
      <c r="BA16" s="21">
        <v>-149.9</v>
      </c>
      <c r="BB16" s="21">
        <v>-144.4</v>
      </c>
      <c r="BC16" s="21">
        <v>-151</v>
      </c>
      <c r="BD16" s="79"/>
      <c r="BE16" s="5"/>
      <c r="BF16" s="81"/>
    </row>
    <row r="17" spans="1:55">
      <c r="E17" s="3"/>
      <c r="I17" s="5"/>
      <c r="J17" s="3"/>
      <c r="K17" s="3"/>
      <c r="P17" s="5"/>
      <c r="Q17" s="3"/>
      <c r="R17" s="3"/>
      <c r="V17" s="5"/>
      <c r="W17" s="3"/>
      <c r="AC17" s="5"/>
      <c r="AE17" s="5"/>
      <c r="AJ17" s="5"/>
      <c r="AQ17" s="5"/>
    </row>
    <row r="18" spans="1:55">
      <c r="H18" s="3"/>
      <c r="I18" s="5"/>
      <c r="P18" s="5"/>
      <c r="AJ18" s="5"/>
      <c r="AQ18" s="5"/>
    </row>
    <row r="19" spans="1:55" ht="58.2" customHeight="1">
      <c r="A19" s="613" t="s">
        <v>106</v>
      </c>
      <c r="B19" s="613"/>
      <c r="C19" s="72"/>
      <c r="D19" s="72"/>
      <c r="E19" s="72"/>
      <c r="F19" s="72"/>
      <c r="G19" s="72"/>
      <c r="H19" s="72"/>
      <c r="I19" s="5"/>
      <c r="P19" s="5"/>
      <c r="Y19" s="3"/>
      <c r="Z19" s="3"/>
      <c r="AA19" s="3"/>
      <c r="AB19" s="3"/>
      <c r="AI19" s="3"/>
      <c r="BC19" s="3"/>
    </row>
    <row r="20" spans="1:55" ht="58.2" customHeight="1">
      <c r="A20" s="613" t="s">
        <v>225</v>
      </c>
      <c r="B20" s="613"/>
      <c r="C20" s="72"/>
      <c r="D20" s="72"/>
      <c r="E20" s="72"/>
      <c r="F20" s="72"/>
      <c r="G20" s="72"/>
      <c r="H20" s="72"/>
    </row>
    <row r="21" spans="1:55" ht="69.599999999999994" customHeight="1">
      <c r="A21" s="609" t="s">
        <v>312</v>
      </c>
      <c r="B21" s="609"/>
      <c r="D21" s="4"/>
      <c r="E21" s="4"/>
      <c r="F21" s="4"/>
      <c r="H21" s="3"/>
    </row>
    <row r="22" spans="1:55" ht="69.599999999999994" customHeight="1">
      <c r="A22" s="609"/>
      <c r="B22" s="609"/>
      <c r="D22" s="4"/>
      <c r="E22" s="4"/>
      <c r="F22" s="4"/>
      <c r="H22" s="67"/>
    </row>
    <row r="23" spans="1:55">
      <c r="D23" s="4"/>
      <c r="E23" s="4"/>
      <c r="F23" s="4"/>
      <c r="H23" s="66"/>
    </row>
    <row r="24" spans="1:55">
      <c r="D24" s="4"/>
      <c r="E24" s="4"/>
      <c r="F24" s="4"/>
    </row>
    <row r="25" spans="1:55">
      <c r="D25" s="4"/>
      <c r="E25" s="4"/>
      <c r="F25" s="4"/>
    </row>
    <row r="26" spans="1:55">
      <c r="D26" s="4"/>
      <c r="E26" s="4"/>
      <c r="F26" s="4"/>
    </row>
    <row r="27" spans="1:55">
      <c r="D27" s="4"/>
      <c r="E27" s="4"/>
      <c r="F27" s="4"/>
    </row>
    <row r="28" spans="1:55">
      <c r="D28" s="4"/>
      <c r="E28" s="4"/>
      <c r="F28" s="4"/>
    </row>
    <row r="29" spans="1:55">
      <c r="D29" s="4"/>
      <c r="E29" s="4"/>
      <c r="F29" s="4"/>
    </row>
    <row r="30" spans="1:55">
      <c r="D30" s="4"/>
      <c r="E30" s="4"/>
      <c r="F30" s="4"/>
    </row>
    <row r="31" spans="1:55">
      <c r="D31" s="4"/>
      <c r="E31" s="4"/>
      <c r="F31" s="4"/>
    </row>
    <row r="32" spans="1:55">
      <c r="D32" s="4"/>
      <c r="E32" s="4"/>
      <c r="F32" s="4"/>
    </row>
    <row r="33" spans="4:6">
      <c r="D33" s="4"/>
      <c r="E33" s="4"/>
      <c r="F33" s="4"/>
    </row>
    <row r="34" spans="4:6">
      <c r="D34" s="4"/>
      <c r="E34" s="4"/>
      <c r="F34" s="4"/>
    </row>
    <row r="35" spans="4:6">
      <c r="D35" s="4"/>
      <c r="E35" s="4"/>
      <c r="F35" s="4"/>
    </row>
    <row r="36" spans="4:6">
      <c r="D36" s="4"/>
      <c r="E36" s="4"/>
      <c r="F36" s="4"/>
    </row>
    <row r="37" spans="4:6">
      <c r="D37" s="4"/>
      <c r="E37" s="4"/>
      <c r="F37" s="4"/>
    </row>
    <row r="38" spans="4:6">
      <c r="D38" s="4"/>
      <c r="E38" s="4"/>
      <c r="F38" s="4"/>
    </row>
    <row r="39" spans="4:6">
      <c r="D39" s="4"/>
      <c r="E39" s="4"/>
      <c r="F39" s="4"/>
    </row>
    <row r="40" spans="4:6">
      <c r="D40" s="4"/>
      <c r="E40" s="4"/>
      <c r="F40" s="4"/>
    </row>
    <row r="41" spans="4:6">
      <c r="D41" s="4"/>
      <c r="E41" s="4"/>
      <c r="F41" s="4"/>
    </row>
    <row r="42" spans="4:6">
      <c r="D42" s="4"/>
      <c r="E42" s="4"/>
      <c r="F42" s="4"/>
    </row>
    <row r="43" spans="4:6">
      <c r="D43" s="4"/>
      <c r="E43" s="4"/>
      <c r="F43" s="4"/>
    </row>
    <row r="44" spans="4:6">
      <c r="D44" s="4"/>
      <c r="E44" s="4"/>
      <c r="F44" s="4"/>
    </row>
    <row r="45" spans="4:6">
      <c r="D45" s="4"/>
      <c r="E45" s="4"/>
      <c r="F45" s="4"/>
    </row>
    <row r="46" spans="4:6">
      <c r="D46" s="4"/>
      <c r="E46" s="4"/>
      <c r="F46" s="4"/>
    </row>
    <row r="47" spans="4:6">
      <c r="D47" s="4"/>
      <c r="E47" s="4"/>
      <c r="F47" s="4"/>
    </row>
    <row r="48" spans="4:6">
      <c r="D48" s="4"/>
      <c r="E48" s="4"/>
      <c r="F48" s="4"/>
    </row>
    <row r="49" spans="4:6">
      <c r="D49" s="4"/>
      <c r="E49" s="4"/>
      <c r="F49" s="4"/>
    </row>
    <row r="50" spans="4:6">
      <c r="D50" s="4"/>
      <c r="E50" s="4"/>
      <c r="F50" s="4"/>
    </row>
    <row r="51" spans="4:6">
      <c r="D51" s="4"/>
      <c r="E51" s="4"/>
      <c r="F51" s="4"/>
    </row>
  </sheetData>
  <mergeCells count="6">
    <mergeCell ref="A22:B22"/>
    <mergeCell ref="AM1:AR1"/>
    <mergeCell ref="J1:W1"/>
    <mergeCell ref="A19:B19"/>
    <mergeCell ref="A20:B20"/>
    <mergeCell ref="A21:B21"/>
  </mergeCells>
  <phoneticPr fontId="41" type="noConversion"/>
  <conditionalFormatting sqref="B18">
    <cfRule type="cellIs" dxfId="1" priority="4" operator="equal">
      <formula>"ok"</formula>
    </cfRule>
  </conditionalFormatting>
  <pageMargins left="0.7" right="0.7" top="0.75" bottom="0.75" header="0.3" footer="0.3"/>
  <pageSetup paperSize="9" orientation="landscape" r:id="rId1"/>
  <customProperties>
    <customPr name="_pios_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BB91"/>
  <sheetViews>
    <sheetView zoomScale="80" zoomScaleNormal="80" workbookViewId="0">
      <pane xSplit="4" ySplit="2" topLeftCell="E11" activePane="bottomRight" state="frozen"/>
      <selection pane="topRight" activeCell="E1" sqref="E1"/>
      <selection pane="bottomLeft" activeCell="A3" sqref="A3"/>
      <selection pane="bottomRight" activeCell="AS33" sqref="AS33"/>
    </sheetView>
  </sheetViews>
  <sheetFormatPr defaultRowHeight="14.4" zeroHeight="1" outlineLevelCol="1"/>
  <cols>
    <col min="1" max="2" width="29.6640625" customWidth="1"/>
    <col min="3" max="3" width="9.6640625" bestFit="1" customWidth="1"/>
    <col min="4" max="5" width="9.109375" style="244"/>
    <col min="7" max="7" width="2.88671875" customWidth="1"/>
    <col min="8" max="8" width="10.109375" bestFit="1" customWidth="1"/>
    <col min="9" max="9" width="2.6640625" customWidth="1"/>
    <col min="10" max="10" width="9.109375" bestFit="1" customWidth="1"/>
    <col min="14" max="14" width="2.44140625" customWidth="1"/>
    <col min="15" max="15" width="10.6640625" bestFit="1" customWidth="1"/>
    <col min="16" max="16" width="2.88671875" customWidth="1"/>
    <col min="17" max="17" width="8.88671875" customWidth="1" outlineLevel="1"/>
    <col min="18" max="20" width="9.109375" customWidth="1" outlineLevel="1"/>
    <col min="21" max="21" width="4.44140625" customWidth="1"/>
    <col min="24" max="26" width="8.88671875" outlineLevel="1"/>
    <col min="27" max="27" width="9.109375" style="244"/>
    <col min="31" max="33" width="8.88671875" outlineLevel="1"/>
    <col min="34" max="34" width="8.88671875" style="244"/>
    <col min="37" max="54" width="8.88671875" style="5"/>
  </cols>
  <sheetData>
    <row r="1" spans="1:54" ht="15" thickBot="1">
      <c r="A1" s="5"/>
      <c r="B1" s="5"/>
      <c r="C1" s="5"/>
      <c r="D1" s="243"/>
      <c r="E1" s="243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243"/>
      <c r="AB1" s="5"/>
      <c r="AC1" s="5"/>
      <c r="AD1" s="5"/>
      <c r="AE1" s="5"/>
      <c r="AF1" s="5"/>
      <c r="AG1" s="5"/>
      <c r="AH1" s="243"/>
      <c r="AI1" s="5"/>
      <c r="AJ1" s="5"/>
    </row>
    <row r="2" spans="1:54" ht="15" thickBot="1">
      <c r="A2" s="22" t="s">
        <v>72</v>
      </c>
      <c r="B2" s="22" t="s">
        <v>276</v>
      </c>
      <c r="C2" s="238" t="s">
        <v>81</v>
      </c>
      <c r="D2" s="239" t="s">
        <v>82</v>
      </c>
      <c r="E2" s="239" t="s">
        <v>83</v>
      </c>
      <c r="F2" s="240" t="s">
        <v>234</v>
      </c>
      <c r="G2" s="167"/>
      <c r="H2" s="242" t="s">
        <v>266</v>
      </c>
      <c r="I2" s="241"/>
      <c r="J2" s="238" t="s">
        <v>227</v>
      </c>
      <c r="K2" s="239" t="s">
        <v>228</v>
      </c>
      <c r="L2" s="239" t="s">
        <v>229</v>
      </c>
      <c r="M2" s="240" t="s">
        <v>230</v>
      </c>
      <c r="N2" s="167"/>
      <c r="O2" s="242" t="s">
        <v>231</v>
      </c>
      <c r="P2" s="5"/>
      <c r="Q2" s="238" t="s">
        <v>283</v>
      </c>
      <c r="R2" s="239" t="s">
        <v>284</v>
      </c>
      <c r="S2" s="239" t="s">
        <v>285</v>
      </c>
      <c r="T2" s="240" t="s">
        <v>286</v>
      </c>
      <c r="U2" s="5"/>
      <c r="V2" s="242" t="s">
        <v>297</v>
      </c>
      <c r="W2" s="5"/>
      <c r="X2" s="238" t="s">
        <v>331</v>
      </c>
      <c r="Y2" s="239" t="s">
        <v>332</v>
      </c>
      <c r="Z2" s="239" t="s">
        <v>333</v>
      </c>
      <c r="AA2" s="239" t="s">
        <v>334</v>
      </c>
      <c r="AB2" s="5"/>
      <c r="AC2" s="242" t="s">
        <v>335</v>
      </c>
      <c r="AD2" s="5"/>
      <c r="AE2" s="238" t="s">
        <v>342</v>
      </c>
      <c r="AF2" s="239" t="s">
        <v>343</v>
      </c>
      <c r="AG2" s="239" t="s">
        <v>344</v>
      </c>
      <c r="AH2" s="239" t="s">
        <v>345</v>
      </c>
      <c r="AI2" s="5"/>
      <c r="AJ2" s="242" t="s">
        <v>346</v>
      </c>
    </row>
    <row r="3" spans="1:54" s="244" customFormat="1" ht="23.25" customHeight="1" thickTop="1">
      <c r="A3" s="245" t="s">
        <v>306</v>
      </c>
      <c r="B3" s="246" t="s">
        <v>288</v>
      </c>
      <c r="C3" s="395">
        <f>757.2+C10</f>
        <v>771.7</v>
      </c>
      <c r="D3" s="396">
        <f>1403.4+D10</f>
        <v>1457</v>
      </c>
      <c r="E3" s="396">
        <f>1574.7+E10</f>
        <v>1620.7</v>
      </c>
      <c r="F3" s="397">
        <f>H3-E3-D3-C3</f>
        <v>1236.8</v>
      </c>
      <c r="G3" s="252"/>
      <c r="H3" s="293">
        <v>5086.2</v>
      </c>
      <c r="I3" s="252"/>
      <c r="J3" s="485">
        <f>SUM(J4:J10)</f>
        <v>1419.2999999999997</v>
      </c>
      <c r="K3" s="396">
        <f>SUM(K4:K10)</f>
        <v>2034.1999999999998</v>
      </c>
      <c r="L3" s="396">
        <f>SUM(L4:L10)</f>
        <v>2055.2822790214877</v>
      </c>
      <c r="M3" s="397">
        <f>O3-L3-K3-J3</f>
        <v>2032.9177209785125</v>
      </c>
      <c r="N3" s="252"/>
      <c r="O3" s="514">
        <v>7541.7</v>
      </c>
      <c r="P3" s="298"/>
      <c r="Q3" s="400">
        <v>1871.7199999999998</v>
      </c>
      <c r="R3" s="396">
        <v>2377.4</v>
      </c>
      <c r="S3" s="396">
        <v>2422.06</v>
      </c>
      <c r="T3" s="397">
        <f>V3-SUM(Q3:S3)</f>
        <v>2452.119999999999</v>
      </c>
      <c r="U3" s="243"/>
      <c r="V3" s="514">
        <f>SUM(V4:V10)</f>
        <v>9123.2999999999993</v>
      </c>
      <c r="W3" s="243"/>
      <c r="X3" s="567">
        <v>2064.1</v>
      </c>
      <c r="Y3" s="568">
        <v>2424.5</v>
      </c>
      <c r="Z3" s="396">
        <v>2430.3999999999996</v>
      </c>
      <c r="AA3" s="396">
        <f>AC3-SUM(X3:Z3)</f>
        <v>2521.2999999999993</v>
      </c>
      <c r="AB3" s="243"/>
      <c r="AC3" s="514">
        <v>9440.2999999999993</v>
      </c>
      <c r="AD3" s="243"/>
      <c r="AE3" s="567">
        <v>2261.3000000000002</v>
      </c>
      <c r="AF3" s="568">
        <v>2589.1999999999998</v>
      </c>
      <c r="AG3" s="396">
        <v>2770.9000000000005</v>
      </c>
      <c r="AH3" s="396"/>
      <c r="AI3" s="243"/>
      <c r="AJ3" s="514"/>
      <c r="AK3" s="243"/>
      <c r="AL3" s="243"/>
      <c r="AM3" s="243"/>
      <c r="AN3" s="243"/>
      <c r="AO3" s="243"/>
      <c r="AP3" s="243"/>
      <c r="AQ3" s="243"/>
      <c r="AR3" s="243"/>
      <c r="AS3" s="243"/>
      <c r="AT3" s="243"/>
      <c r="AU3" s="243"/>
      <c r="AV3" s="243"/>
      <c r="AW3" s="243"/>
      <c r="AX3" s="243"/>
      <c r="AY3" s="243"/>
      <c r="AZ3" s="243"/>
      <c r="BA3" s="243"/>
      <c r="BB3" s="243"/>
    </row>
    <row r="4" spans="1:54">
      <c r="A4" s="235" t="s">
        <v>289</v>
      </c>
      <c r="B4" s="235" t="s">
        <v>289</v>
      </c>
      <c r="C4" s="272">
        <v>310.7</v>
      </c>
      <c r="D4" s="273">
        <v>861.7</v>
      </c>
      <c r="E4" s="273">
        <v>895.59999999999991</v>
      </c>
      <c r="F4" s="394">
        <f>H4-E4-D4-C4</f>
        <v>560.29999999999973</v>
      </c>
      <c r="G4" s="249"/>
      <c r="H4" s="255">
        <v>2628.2999999999997</v>
      </c>
      <c r="I4" s="249"/>
      <c r="J4" s="272">
        <v>548</v>
      </c>
      <c r="K4" s="273">
        <v>1101.4000000000001</v>
      </c>
      <c r="L4" s="273">
        <v>1043.5822790214872</v>
      </c>
      <c r="M4" s="394">
        <f t="shared" ref="M4:M9" si="0">O4-L4-K4-J4</f>
        <v>810.91772097851253</v>
      </c>
      <c r="N4" s="249"/>
      <c r="O4" s="515">
        <v>3503.9</v>
      </c>
      <c r="P4" s="5"/>
      <c r="Q4" s="272">
        <v>780.42000000000007</v>
      </c>
      <c r="R4" s="273">
        <v>1152.18</v>
      </c>
      <c r="S4" s="501">
        <v>1113.4100000000001</v>
      </c>
      <c r="T4" s="394">
        <f t="shared" ref="T4:T17" si="1">V4-SUM(Q4:S4)</f>
        <v>1013.9899999999998</v>
      </c>
      <c r="U4" s="5"/>
      <c r="V4" s="515">
        <v>4060</v>
      </c>
      <c r="W4" s="5"/>
      <c r="X4" s="272">
        <v>848.40000000000009</v>
      </c>
      <c r="Y4" s="273">
        <v>1040.7</v>
      </c>
      <c r="Z4" s="501">
        <v>1059.6999999999994</v>
      </c>
      <c r="AA4" s="273">
        <f t="shared" ref="AA4:AA17" si="2">AC4-SUM(X4:Z4)</f>
        <v>1051.3000000000002</v>
      </c>
      <c r="AB4" s="5"/>
      <c r="AC4" s="515">
        <v>4000.0999999999995</v>
      </c>
      <c r="AD4" s="5"/>
      <c r="AE4" s="272">
        <v>950.7</v>
      </c>
      <c r="AF4" s="273">
        <v>1110.5999999999999</v>
      </c>
      <c r="AG4" s="501">
        <v>1198.6999999999998</v>
      </c>
      <c r="AH4" s="273"/>
      <c r="AI4" s="5"/>
      <c r="AJ4" s="515"/>
    </row>
    <row r="5" spans="1:54">
      <c r="A5" s="235" t="s">
        <v>290</v>
      </c>
      <c r="B5" s="235" t="s">
        <v>290</v>
      </c>
      <c r="C5" s="276">
        <v>394</v>
      </c>
      <c r="D5" s="277">
        <v>471.8</v>
      </c>
      <c r="E5" s="277">
        <v>506.9</v>
      </c>
      <c r="F5" s="394">
        <f t="shared" ref="F5:F9" si="3">H5-E5-D5-C5</f>
        <v>647.00000000000023</v>
      </c>
      <c r="G5" s="249"/>
      <c r="H5" s="253">
        <v>2019.7</v>
      </c>
      <c r="I5" s="249"/>
      <c r="J5" s="276">
        <v>663.5</v>
      </c>
      <c r="K5" s="277">
        <v>710.19999999999993</v>
      </c>
      <c r="L5" s="277">
        <v>689.90000000000009</v>
      </c>
      <c r="M5" s="394">
        <f t="shared" si="0"/>
        <v>789.70000000000027</v>
      </c>
      <c r="N5" s="249"/>
      <c r="O5" s="516">
        <v>2853.3</v>
      </c>
      <c r="P5" s="5"/>
      <c r="Q5" s="276">
        <v>745.1</v>
      </c>
      <c r="R5" s="277">
        <v>797.5</v>
      </c>
      <c r="S5" s="277">
        <v>763.9</v>
      </c>
      <c r="T5" s="394">
        <f t="shared" si="1"/>
        <v>774.80000000000018</v>
      </c>
      <c r="U5" s="5"/>
      <c r="V5" s="516">
        <v>3081.3</v>
      </c>
      <c r="W5" s="5"/>
      <c r="X5" s="276">
        <v>701</v>
      </c>
      <c r="Y5" s="277">
        <v>768.6</v>
      </c>
      <c r="Z5" s="277">
        <v>676.3</v>
      </c>
      <c r="AA5" s="277">
        <f t="shared" si="2"/>
        <v>695.00000000000045</v>
      </c>
      <c r="AB5" s="5"/>
      <c r="AC5" s="516">
        <v>2840.9</v>
      </c>
      <c r="AD5" s="5"/>
      <c r="AE5" s="276">
        <v>703.1</v>
      </c>
      <c r="AF5" s="277">
        <v>808.5</v>
      </c>
      <c r="AG5" s="277">
        <v>805</v>
      </c>
      <c r="AH5" s="277"/>
      <c r="AI5" s="5"/>
      <c r="AJ5" s="516"/>
    </row>
    <row r="6" spans="1:54">
      <c r="A6" s="235" t="s">
        <v>291</v>
      </c>
      <c r="B6" s="235" t="s">
        <v>291</v>
      </c>
      <c r="C6" s="276">
        <v>34.5</v>
      </c>
      <c r="D6" s="277">
        <v>48.7</v>
      </c>
      <c r="E6" s="277">
        <v>57.399999999999991</v>
      </c>
      <c r="F6" s="394">
        <f t="shared" si="3"/>
        <v>99.400000000000034</v>
      </c>
      <c r="G6" s="249"/>
      <c r="H6" s="253">
        <v>240</v>
      </c>
      <c r="I6" s="249"/>
      <c r="J6" s="276">
        <v>96.700000000000017</v>
      </c>
      <c r="K6" s="277">
        <v>94.9</v>
      </c>
      <c r="L6" s="277">
        <v>120.49999999999999</v>
      </c>
      <c r="M6" s="394">
        <f t="shared" si="0"/>
        <v>227.9</v>
      </c>
      <c r="N6" s="249"/>
      <c r="O6" s="516">
        <v>540</v>
      </c>
      <c r="P6" s="5"/>
      <c r="Q6" s="276">
        <v>162.4</v>
      </c>
      <c r="R6" s="277">
        <v>187</v>
      </c>
      <c r="S6" s="277">
        <v>228.79999999999995</v>
      </c>
      <c r="T6" s="394">
        <f t="shared" si="1"/>
        <v>316.80000000000007</v>
      </c>
      <c r="U6" s="5"/>
      <c r="V6" s="516">
        <v>895</v>
      </c>
      <c r="W6" s="5"/>
      <c r="X6" s="276">
        <v>240.9</v>
      </c>
      <c r="Y6" s="277">
        <v>256.39999999999998</v>
      </c>
      <c r="Z6" s="277">
        <v>277.00000000000006</v>
      </c>
      <c r="AA6" s="277">
        <f t="shared" si="2"/>
        <v>316.70000000000005</v>
      </c>
      <c r="AB6" s="5"/>
      <c r="AC6" s="516">
        <v>1091</v>
      </c>
      <c r="AD6" s="5"/>
      <c r="AE6" s="276">
        <v>220</v>
      </c>
      <c r="AF6" s="277">
        <v>236.3</v>
      </c>
      <c r="AG6" s="277">
        <v>277.2</v>
      </c>
      <c r="AH6" s="277"/>
      <c r="AI6" s="5"/>
      <c r="AJ6" s="516"/>
    </row>
    <row r="7" spans="1:54">
      <c r="A7" s="235" t="s">
        <v>307</v>
      </c>
      <c r="B7" s="235" t="s">
        <v>307</v>
      </c>
      <c r="C7" s="276">
        <v>0</v>
      </c>
      <c r="D7" s="277">
        <v>0</v>
      </c>
      <c r="E7" s="277">
        <v>0</v>
      </c>
      <c r="F7" s="394">
        <f t="shared" si="3"/>
        <v>0</v>
      </c>
      <c r="G7" s="249"/>
      <c r="H7" s="253">
        <v>0</v>
      </c>
      <c r="I7" s="249"/>
      <c r="J7" s="276">
        <v>1.1000000000000001</v>
      </c>
      <c r="K7" s="277">
        <v>39.1</v>
      </c>
      <c r="L7" s="277">
        <v>81.899999999999991</v>
      </c>
      <c r="M7" s="394">
        <f t="shared" si="0"/>
        <v>114.80000000000001</v>
      </c>
      <c r="N7" s="249"/>
      <c r="O7" s="516">
        <v>236.9</v>
      </c>
      <c r="P7" s="5"/>
      <c r="Q7" s="276">
        <v>118.52</v>
      </c>
      <c r="R7" s="277">
        <v>181.81</v>
      </c>
      <c r="S7" s="277">
        <v>257.65000000000003</v>
      </c>
      <c r="T7" s="394">
        <f t="shared" si="1"/>
        <v>285.12</v>
      </c>
      <c r="U7" s="5"/>
      <c r="V7" s="516">
        <v>843.1</v>
      </c>
      <c r="W7" s="5"/>
      <c r="X7" s="276">
        <v>251.5</v>
      </c>
      <c r="Y7" s="277">
        <v>337.5</v>
      </c>
      <c r="Z7" s="277">
        <v>393</v>
      </c>
      <c r="AA7" s="277">
        <f t="shared" si="2"/>
        <v>436</v>
      </c>
      <c r="AB7" s="5"/>
      <c r="AC7" s="516">
        <v>1418</v>
      </c>
      <c r="AD7" s="5"/>
      <c r="AE7" s="276">
        <v>370.8</v>
      </c>
      <c r="AF7" s="277">
        <v>412.1</v>
      </c>
      <c r="AG7" s="277">
        <v>465.6</v>
      </c>
      <c r="AH7" s="277"/>
      <c r="AI7" s="5"/>
      <c r="AJ7" s="516"/>
    </row>
    <row r="8" spans="1:54">
      <c r="A8" s="235" t="s">
        <v>267</v>
      </c>
      <c r="B8" s="235" t="s">
        <v>267</v>
      </c>
      <c r="C8" s="272">
        <v>14.1</v>
      </c>
      <c r="D8" s="273">
        <v>16.7</v>
      </c>
      <c r="E8" s="273">
        <v>18.7</v>
      </c>
      <c r="F8" s="394">
        <f t="shared" si="3"/>
        <v>20.300000000000004</v>
      </c>
      <c r="G8" s="249"/>
      <c r="H8" s="255">
        <v>69.800000000000011</v>
      </c>
      <c r="I8" s="249"/>
      <c r="J8" s="272">
        <v>25.1</v>
      </c>
      <c r="K8" s="273">
        <v>30</v>
      </c>
      <c r="L8" s="273">
        <v>24.1</v>
      </c>
      <c r="M8" s="394">
        <f t="shared" si="0"/>
        <v>28.800000000000004</v>
      </c>
      <c r="N8" s="249"/>
      <c r="O8" s="515">
        <v>108</v>
      </c>
      <c r="P8" s="5"/>
      <c r="Q8" s="272">
        <v>26</v>
      </c>
      <c r="R8" s="273">
        <v>27.9</v>
      </c>
      <c r="S8" s="501">
        <v>33.199999999999996</v>
      </c>
      <c r="T8" s="394">
        <f t="shared" si="1"/>
        <v>28.700000000000003</v>
      </c>
      <c r="U8" s="5"/>
      <c r="V8" s="515">
        <v>115.8</v>
      </c>
      <c r="W8" s="5"/>
      <c r="X8" s="272">
        <v>22.3</v>
      </c>
      <c r="Y8" s="273">
        <v>21.3</v>
      </c>
      <c r="Z8" s="501">
        <v>24.4</v>
      </c>
      <c r="AA8" s="273">
        <f t="shared" si="2"/>
        <v>22.299999999999997</v>
      </c>
      <c r="AB8" s="5"/>
      <c r="AC8" s="515">
        <v>90.3</v>
      </c>
      <c r="AD8" s="5"/>
      <c r="AE8" s="272">
        <v>16.7</v>
      </c>
      <c r="AF8" s="273">
        <v>21.7</v>
      </c>
      <c r="AG8" s="501">
        <v>24.4</v>
      </c>
      <c r="AH8" s="273"/>
      <c r="AI8" s="5"/>
      <c r="AJ8" s="515"/>
    </row>
    <row r="9" spans="1:54">
      <c r="A9" s="235" t="s">
        <v>295</v>
      </c>
      <c r="B9" s="235" t="s">
        <v>296</v>
      </c>
      <c r="C9" s="276">
        <v>3.9</v>
      </c>
      <c r="D9" s="277">
        <v>4.5</v>
      </c>
      <c r="E9" s="277">
        <v>96.099999999999795</v>
      </c>
      <c r="F9" s="394">
        <f t="shared" si="3"/>
        <v>23.900000000000297</v>
      </c>
      <c r="G9" s="249"/>
      <c r="H9" s="253">
        <v>128.40000000000009</v>
      </c>
      <c r="I9" s="249"/>
      <c r="J9" s="276">
        <v>42.89999999999992</v>
      </c>
      <c r="K9" s="277">
        <v>24.599999999999909</v>
      </c>
      <c r="L9" s="277">
        <v>79.300000000000182</v>
      </c>
      <c r="M9" s="394">
        <f t="shared" si="0"/>
        <v>46.399999999999807</v>
      </c>
      <c r="N9" s="249"/>
      <c r="O9" s="516">
        <v>193.19999999999982</v>
      </c>
      <c r="P9" s="5"/>
      <c r="Q9" s="276">
        <v>39.399999999999864</v>
      </c>
      <c r="R9" s="277">
        <v>28.409999999999901</v>
      </c>
      <c r="S9" s="277">
        <v>25.100000000000136</v>
      </c>
      <c r="T9" s="394">
        <f t="shared" si="1"/>
        <v>22.290000000000106</v>
      </c>
      <c r="U9" s="5"/>
      <c r="V9" s="516">
        <v>115.2</v>
      </c>
      <c r="W9" s="5"/>
      <c r="X9" s="560">
        <v>0</v>
      </c>
      <c r="Y9" s="370">
        <v>0</v>
      </c>
      <c r="Z9" s="277">
        <v>0</v>
      </c>
      <c r="AA9" s="277">
        <f t="shared" si="2"/>
        <v>0</v>
      </c>
      <c r="AB9" s="5"/>
      <c r="AC9" s="516">
        <v>0</v>
      </c>
      <c r="AD9" s="5"/>
      <c r="AE9" s="560">
        <v>0</v>
      </c>
      <c r="AF9" s="370">
        <v>0</v>
      </c>
      <c r="AG9" s="277">
        <v>0</v>
      </c>
      <c r="AH9" s="277"/>
      <c r="AI9" s="5"/>
      <c r="AJ9" s="516"/>
    </row>
    <row r="10" spans="1:54" ht="15" thickBot="1">
      <c r="A10" s="235" t="s">
        <v>282</v>
      </c>
      <c r="B10" s="237" t="s">
        <v>287</v>
      </c>
      <c r="C10" s="398">
        <v>14.5</v>
      </c>
      <c r="D10" s="370">
        <f>68.1-C10</f>
        <v>53.599999999999994</v>
      </c>
      <c r="E10" s="370">
        <f>114.1-D10-C10</f>
        <v>46</v>
      </c>
      <c r="F10" s="399">
        <f>H10-E10-D10-C10</f>
        <v>46.700000000000017</v>
      </c>
      <c r="G10" s="249"/>
      <c r="H10" s="369">
        <v>160.80000000000001</v>
      </c>
      <c r="I10" s="249"/>
      <c r="J10" s="398">
        <v>42</v>
      </c>
      <c r="K10" s="370">
        <v>34</v>
      </c>
      <c r="L10" s="370">
        <v>16</v>
      </c>
      <c r="M10" s="399"/>
      <c r="N10" s="249"/>
      <c r="O10" s="517">
        <v>106.4</v>
      </c>
      <c r="P10" s="5"/>
      <c r="Q10" s="398">
        <v>10.3</v>
      </c>
      <c r="R10" s="370">
        <v>2.6</v>
      </c>
      <c r="S10" s="502">
        <v>0</v>
      </c>
      <c r="T10" s="399">
        <f t="shared" si="1"/>
        <v>0</v>
      </c>
      <c r="U10" s="5"/>
      <c r="V10" s="517">
        <v>12.9</v>
      </c>
      <c r="W10" s="5"/>
      <c r="X10" s="398">
        <v>0</v>
      </c>
      <c r="Y10" s="370">
        <v>0</v>
      </c>
      <c r="Z10" s="502">
        <v>0</v>
      </c>
      <c r="AA10" s="370">
        <f t="shared" si="2"/>
        <v>0</v>
      </c>
      <c r="AB10" s="5"/>
      <c r="AC10" s="517">
        <v>0</v>
      </c>
      <c r="AD10" s="5"/>
      <c r="AE10" s="398">
        <v>0</v>
      </c>
      <c r="AF10" s="370">
        <v>0</v>
      </c>
      <c r="AG10" s="502">
        <v>0</v>
      </c>
      <c r="AH10" s="370"/>
      <c r="AI10" s="5"/>
      <c r="AJ10" s="517"/>
    </row>
    <row r="11" spans="1:54" s="244" customFormat="1" ht="23.25" customHeight="1" thickTop="1">
      <c r="A11" s="247" t="s">
        <v>305</v>
      </c>
      <c r="B11" s="248" t="s">
        <v>292</v>
      </c>
      <c r="C11" s="392">
        <v>331.6</v>
      </c>
      <c r="D11" s="382">
        <v>660</v>
      </c>
      <c r="E11" s="382">
        <v>713.5</v>
      </c>
      <c r="F11" s="393">
        <f>H11-E11-D11-C11</f>
        <v>587.80000000000007</v>
      </c>
      <c r="G11" s="250"/>
      <c r="H11" s="293">
        <v>2292.9</v>
      </c>
      <c r="I11" s="250"/>
      <c r="J11" s="482">
        <f>SUM(J12:J17)</f>
        <v>610.40000000000009</v>
      </c>
      <c r="K11" s="484">
        <f>SUM(K12:K17)</f>
        <v>959.10000000000014</v>
      </c>
      <c r="L11" s="483">
        <f>SUM(L12:L17)</f>
        <v>1010.5891752784182</v>
      </c>
      <c r="M11" s="393">
        <f>O11-L11-K11-J11</f>
        <v>945.17082472158177</v>
      </c>
      <c r="N11" s="250"/>
      <c r="O11" s="514">
        <f>SUM(O12:O17)</f>
        <v>3525.26</v>
      </c>
      <c r="P11" s="243"/>
      <c r="Q11" s="401">
        <v>922.84</v>
      </c>
      <c r="R11" s="382">
        <v>1129.4000000000001</v>
      </c>
      <c r="S11" s="382">
        <v>1163.1499999999999</v>
      </c>
      <c r="T11" s="393">
        <f t="shared" si="1"/>
        <v>1050.0100000000002</v>
      </c>
      <c r="U11" s="243"/>
      <c r="V11" s="514">
        <f>SUM(V12:V17)</f>
        <v>4265.4000000000005</v>
      </c>
      <c r="W11" s="243"/>
      <c r="X11" s="569">
        <v>958.8</v>
      </c>
      <c r="Y11" s="570">
        <v>1102.0999999999999</v>
      </c>
      <c r="Z11" s="382">
        <v>1173.9999999999995</v>
      </c>
      <c r="AA11" s="382">
        <f t="shared" si="2"/>
        <v>1159.2000000000003</v>
      </c>
      <c r="AB11" s="243"/>
      <c r="AC11" s="514">
        <v>4394.0999999999995</v>
      </c>
      <c r="AD11" s="243"/>
      <c r="AE11" s="569">
        <v>1162.8</v>
      </c>
      <c r="AF11" s="570">
        <v>1282.3</v>
      </c>
      <c r="AG11" s="382">
        <v>1420</v>
      </c>
      <c r="AH11" s="382"/>
      <c r="AI11" s="243"/>
      <c r="AJ11" s="514"/>
      <c r="AK11" s="243"/>
      <c r="AL11" s="243"/>
      <c r="AM11" s="243"/>
      <c r="AN11" s="243"/>
      <c r="AO11" s="243"/>
      <c r="AP11" s="243"/>
      <c r="AQ11" s="243"/>
      <c r="AR11" s="243"/>
      <c r="AS11" s="243"/>
      <c r="AT11" s="243"/>
      <c r="AU11" s="243"/>
      <c r="AV11" s="243"/>
      <c r="AW11" s="243"/>
      <c r="AX11" s="243"/>
      <c r="AY11" s="243"/>
      <c r="AZ11" s="243"/>
      <c r="BA11" s="243"/>
      <c r="BB11" s="243"/>
    </row>
    <row r="12" spans="1:54">
      <c r="A12" s="235" t="s">
        <v>289</v>
      </c>
      <c r="B12" s="235" t="s">
        <v>289</v>
      </c>
      <c r="C12" s="272">
        <v>156.30000000000001</v>
      </c>
      <c r="D12" s="273">
        <v>395.7</v>
      </c>
      <c r="E12" s="273">
        <v>477.29999999999995</v>
      </c>
      <c r="F12" s="394">
        <f>H12-E12-D12-C12</f>
        <v>264.79999999999995</v>
      </c>
      <c r="G12" s="249"/>
      <c r="H12" s="253">
        <v>1294.0999999999999</v>
      </c>
      <c r="I12" s="249"/>
      <c r="J12" s="272">
        <v>268.3</v>
      </c>
      <c r="K12" s="273">
        <v>574.80000000000007</v>
      </c>
      <c r="L12" s="273">
        <v>595.48917527841809</v>
      </c>
      <c r="M12" s="394">
        <f t="shared" ref="M12:M17" si="4">O12-L12-K12-J12</f>
        <v>424.71082472158179</v>
      </c>
      <c r="N12" s="249"/>
      <c r="O12" s="516">
        <v>1863.3</v>
      </c>
      <c r="P12" s="5"/>
      <c r="Q12" s="272">
        <v>453.00000000000006</v>
      </c>
      <c r="R12" s="273">
        <v>625.14</v>
      </c>
      <c r="S12" s="501">
        <v>607.96</v>
      </c>
      <c r="T12" s="394">
        <f t="shared" si="1"/>
        <v>493.19999999999959</v>
      </c>
      <c r="U12" s="5"/>
      <c r="V12" s="516">
        <v>2179.2999999999997</v>
      </c>
      <c r="W12" s="5"/>
      <c r="X12" s="272">
        <v>447.5</v>
      </c>
      <c r="Y12" s="273">
        <v>570.4</v>
      </c>
      <c r="Z12" s="501">
        <v>616.09999999999991</v>
      </c>
      <c r="AA12" s="273">
        <f t="shared" si="2"/>
        <v>584.39999999999964</v>
      </c>
      <c r="AB12" s="5"/>
      <c r="AC12" s="516">
        <v>2218.3999999999996</v>
      </c>
      <c r="AD12" s="5"/>
      <c r="AE12" s="272">
        <v>575</v>
      </c>
      <c r="AF12" s="273">
        <v>661.1</v>
      </c>
      <c r="AG12" s="501">
        <v>702.90000000000009</v>
      </c>
      <c r="AH12" s="273"/>
      <c r="AI12" s="5"/>
      <c r="AJ12" s="516"/>
    </row>
    <row r="13" spans="1:54">
      <c r="A13" s="235" t="s">
        <v>290</v>
      </c>
      <c r="B13" s="235" t="s">
        <v>290</v>
      </c>
      <c r="C13" s="276">
        <v>162.6</v>
      </c>
      <c r="D13" s="277">
        <v>225.5</v>
      </c>
      <c r="E13" s="277">
        <v>220.39999999999998</v>
      </c>
      <c r="F13" s="394">
        <f t="shared" ref="F13:F17" si="5">H13-E13-D13-C13</f>
        <v>267.10000000000002</v>
      </c>
      <c r="G13" s="249"/>
      <c r="H13" s="253">
        <v>875.6</v>
      </c>
      <c r="I13" s="249"/>
      <c r="J13" s="276">
        <v>287.60000000000002</v>
      </c>
      <c r="K13" s="277">
        <v>309.39999999999998</v>
      </c>
      <c r="L13" s="277">
        <v>305.30000000000007</v>
      </c>
      <c r="M13" s="394">
        <f t="shared" si="4"/>
        <v>331.6</v>
      </c>
      <c r="N13" s="249"/>
      <c r="O13" s="516">
        <v>1233.9000000000001</v>
      </c>
      <c r="P13" s="5"/>
      <c r="Q13" s="276">
        <v>325</v>
      </c>
      <c r="R13" s="277">
        <v>340.8</v>
      </c>
      <c r="S13" s="277">
        <v>309.90000000000009</v>
      </c>
      <c r="T13" s="394">
        <f t="shared" si="1"/>
        <v>299</v>
      </c>
      <c r="U13" s="5"/>
      <c r="V13" s="516">
        <v>1274.7</v>
      </c>
      <c r="W13" s="5"/>
      <c r="X13" s="276">
        <v>300.40000000000003</v>
      </c>
      <c r="Y13" s="277">
        <v>298</v>
      </c>
      <c r="Z13" s="277">
        <v>261.10000000000002</v>
      </c>
      <c r="AA13" s="277">
        <f t="shared" si="2"/>
        <v>243.79999999999984</v>
      </c>
      <c r="AB13" s="5"/>
      <c r="AC13" s="516">
        <v>1103.3</v>
      </c>
      <c r="AD13" s="5"/>
      <c r="AE13" s="276">
        <v>297.5</v>
      </c>
      <c r="AF13" s="277">
        <v>306.60000000000002</v>
      </c>
      <c r="AG13" s="277">
        <v>353.1</v>
      </c>
      <c r="AH13" s="277"/>
      <c r="AI13" s="5"/>
      <c r="AJ13" s="516"/>
    </row>
    <row r="14" spans="1:54">
      <c r="A14" s="235" t="s">
        <v>291</v>
      </c>
      <c r="B14" s="235" t="s">
        <v>291</v>
      </c>
      <c r="C14" s="276">
        <v>12.9</v>
      </c>
      <c r="D14" s="277">
        <v>19.2</v>
      </c>
      <c r="E14" s="277">
        <v>21.499999999999996</v>
      </c>
      <c r="F14" s="394">
        <f t="shared" si="5"/>
        <v>35.70000000000001</v>
      </c>
      <c r="G14" s="249"/>
      <c r="H14" s="253">
        <v>89.300000000000011</v>
      </c>
      <c r="I14" s="249"/>
      <c r="J14" s="276">
        <v>39</v>
      </c>
      <c r="K14" s="277">
        <v>36.200000000000003</v>
      </c>
      <c r="L14" s="277">
        <v>49.7</v>
      </c>
      <c r="M14" s="394">
        <f t="shared" si="4"/>
        <v>92</v>
      </c>
      <c r="N14" s="249"/>
      <c r="O14" s="516">
        <v>216.89999999999998</v>
      </c>
      <c r="P14" s="5"/>
      <c r="Q14" s="276">
        <v>66.7</v>
      </c>
      <c r="R14" s="277">
        <v>78.5</v>
      </c>
      <c r="S14" s="277">
        <v>94.9</v>
      </c>
      <c r="T14" s="394">
        <f t="shared" si="1"/>
        <v>126.79999999999998</v>
      </c>
      <c r="U14" s="5"/>
      <c r="V14" s="516">
        <v>366.9</v>
      </c>
      <c r="W14" s="5"/>
      <c r="X14" s="276">
        <v>99.7</v>
      </c>
      <c r="Y14" s="277">
        <v>93.4</v>
      </c>
      <c r="Z14" s="277">
        <v>101.99999999999997</v>
      </c>
      <c r="AA14" s="277">
        <f t="shared" si="2"/>
        <v>106.19999999999999</v>
      </c>
      <c r="AB14" s="5"/>
      <c r="AC14" s="516">
        <v>401.3</v>
      </c>
      <c r="AD14" s="5"/>
      <c r="AE14" s="276">
        <v>91.9</v>
      </c>
      <c r="AF14" s="277">
        <v>91.9</v>
      </c>
      <c r="AG14" s="277">
        <v>110.79999999999995</v>
      </c>
      <c r="AH14" s="277"/>
      <c r="AI14" s="5"/>
      <c r="AJ14" s="516"/>
    </row>
    <row r="15" spans="1:54">
      <c r="A15" s="235" t="s">
        <v>307</v>
      </c>
      <c r="B15" s="235" t="s">
        <v>307</v>
      </c>
      <c r="C15" s="276">
        <v>0</v>
      </c>
      <c r="D15" s="277">
        <v>0</v>
      </c>
      <c r="E15" s="277">
        <v>0</v>
      </c>
      <c r="F15" s="394">
        <f t="shared" si="5"/>
        <v>0</v>
      </c>
      <c r="G15" s="249"/>
      <c r="H15" s="253">
        <v>0</v>
      </c>
      <c r="I15" s="249"/>
      <c r="J15" s="276">
        <v>0.6</v>
      </c>
      <c r="K15" s="277">
        <v>20.8</v>
      </c>
      <c r="L15" s="277">
        <v>40.6</v>
      </c>
      <c r="M15" s="394">
        <f t="shared" si="4"/>
        <v>45.76</v>
      </c>
      <c r="N15" s="249"/>
      <c r="O15" s="516">
        <v>107.76</v>
      </c>
      <c r="P15" s="5"/>
      <c r="Q15" s="276">
        <v>54.440000000000005</v>
      </c>
      <c r="R15" s="277">
        <v>82.47</v>
      </c>
      <c r="S15" s="277">
        <v>130.09</v>
      </c>
      <c r="T15" s="394">
        <f t="shared" si="1"/>
        <v>123.69999999999999</v>
      </c>
      <c r="U15" s="5"/>
      <c r="V15" s="516">
        <v>390.7</v>
      </c>
      <c r="W15" s="5"/>
      <c r="X15" s="276">
        <v>100</v>
      </c>
      <c r="Y15" s="277">
        <v>127.5</v>
      </c>
      <c r="Z15" s="277">
        <v>181.60000000000002</v>
      </c>
      <c r="AA15" s="277">
        <f t="shared" si="2"/>
        <v>212.79999999999995</v>
      </c>
      <c r="AB15" s="5"/>
      <c r="AC15" s="516">
        <v>621.9</v>
      </c>
      <c r="AD15" s="5"/>
      <c r="AE15" s="276">
        <v>188.2</v>
      </c>
      <c r="AF15" s="277">
        <v>209.8</v>
      </c>
      <c r="AG15" s="277">
        <v>239.10000000000002</v>
      </c>
      <c r="AH15" s="277"/>
      <c r="AI15" s="5"/>
      <c r="AJ15" s="516"/>
    </row>
    <row r="16" spans="1:54">
      <c r="A16" s="235" t="s">
        <v>267</v>
      </c>
      <c r="B16" s="235" t="s">
        <v>267</v>
      </c>
      <c r="C16" s="272">
        <v>7.5</v>
      </c>
      <c r="D16" s="273">
        <v>8.5</v>
      </c>
      <c r="E16" s="273">
        <v>9.9</v>
      </c>
      <c r="F16" s="394">
        <f t="shared" si="5"/>
        <v>9.1999999999999957</v>
      </c>
      <c r="G16" s="249"/>
      <c r="H16" s="253">
        <v>35.099999999999994</v>
      </c>
      <c r="I16" s="249"/>
      <c r="J16" s="272">
        <v>14.6</v>
      </c>
      <c r="K16" s="273">
        <v>16.7</v>
      </c>
      <c r="L16" s="273">
        <v>12.299999999999997</v>
      </c>
      <c r="M16" s="394">
        <f t="shared" si="4"/>
        <v>12.800000000000002</v>
      </c>
      <c r="N16" s="249"/>
      <c r="O16" s="516">
        <v>56.4</v>
      </c>
      <c r="P16" s="5"/>
      <c r="Q16" s="272">
        <v>13.4</v>
      </c>
      <c r="R16" s="273">
        <v>15.4</v>
      </c>
      <c r="S16" s="501">
        <v>15.400000000000004</v>
      </c>
      <c r="T16" s="394">
        <f t="shared" si="1"/>
        <v>10.299999999999997</v>
      </c>
      <c r="U16" s="5"/>
      <c r="V16" s="516">
        <v>54.5</v>
      </c>
      <c r="W16" s="5"/>
      <c r="X16" s="272">
        <v>11.2</v>
      </c>
      <c r="Y16" s="273">
        <v>12.8</v>
      </c>
      <c r="Z16" s="501">
        <v>13.200000000000003</v>
      </c>
      <c r="AA16" s="273">
        <f t="shared" si="2"/>
        <v>12</v>
      </c>
      <c r="AB16" s="5"/>
      <c r="AC16" s="516">
        <v>49.2</v>
      </c>
      <c r="AD16" s="5"/>
      <c r="AE16" s="272">
        <v>10.199999999999999</v>
      </c>
      <c r="AF16" s="273">
        <v>12.9</v>
      </c>
      <c r="AG16" s="501">
        <v>14.100000000000001</v>
      </c>
      <c r="AH16" s="273"/>
      <c r="AI16" s="5"/>
      <c r="AJ16" s="516"/>
    </row>
    <row r="17" spans="1:54">
      <c r="A17" s="235" t="s">
        <v>295</v>
      </c>
      <c r="B17" s="235" t="s">
        <v>296</v>
      </c>
      <c r="C17" s="276">
        <v>-7.7</v>
      </c>
      <c r="D17" s="277">
        <v>11.1</v>
      </c>
      <c r="E17" s="277">
        <v>-15.600000000000003</v>
      </c>
      <c r="F17" s="394">
        <f t="shared" si="5"/>
        <v>11</v>
      </c>
      <c r="G17" s="249"/>
      <c r="H17" s="253">
        <v>-1.2000000000000028</v>
      </c>
      <c r="I17" s="249"/>
      <c r="J17" s="276">
        <v>0.3</v>
      </c>
      <c r="K17" s="277">
        <v>1.2</v>
      </c>
      <c r="L17" s="277">
        <v>7.1999999999999993</v>
      </c>
      <c r="M17" s="394">
        <f t="shared" si="4"/>
        <v>38.299999999999997</v>
      </c>
      <c r="N17" s="249"/>
      <c r="O17" s="516">
        <v>47</v>
      </c>
      <c r="P17" s="5"/>
      <c r="Q17" s="276">
        <v>10.3</v>
      </c>
      <c r="R17" s="277">
        <v>-12.9</v>
      </c>
      <c r="S17" s="277">
        <v>4.9000000000000021</v>
      </c>
      <c r="T17" s="394">
        <f t="shared" si="1"/>
        <v>-3.0000000000000027</v>
      </c>
      <c r="U17" s="5"/>
      <c r="V17" s="516">
        <v>-0.7</v>
      </c>
      <c r="W17" s="5"/>
      <c r="X17" s="560">
        <v>0</v>
      </c>
      <c r="Y17" s="370">
        <v>0</v>
      </c>
      <c r="Z17" s="277">
        <v>0</v>
      </c>
      <c r="AA17" s="277">
        <f t="shared" si="2"/>
        <v>0</v>
      </c>
      <c r="AB17" s="5"/>
      <c r="AC17" s="516">
        <v>0</v>
      </c>
      <c r="AD17" s="5"/>
      <c r="AE17" s="560"/>
      <c r="AF17" s="370"/>
      <c r="AG17" s="277"/>
      <c r="AH17" s="277"/>
      <c r="AI17" s="5"/>
      <c r="AJ17" s="516"/>
    </row>
    <row r="18" spans="1:54">
      <c r="A18" s="236"/>
      <c r="B18" s="5"/>
      <c r="C18" s="384"/>
      <c r="D18" s="385"/>
      <c r="E18" s="385"/>
      <c r="F18" s="386"/>
      <c r="G18" s="249"/>
      <c r="H18" s="251"/>
      <c r="I18" s="249"/>
      <c r="J18" s="384"/>
      <c r="K18" s="385"/>
      <c r="L18" s="385"/>
      <c r="M18" s="386"/>
      <c r="N18" s="249"/>
      <c r="O18" s="518"/>
      <c r="P18" s="5"/>
      <c r="Q18" s="384"/>
      <c r="R18" s="385"/>
      <c r="S18" s="503"/>
      <c r="T18" s="386"/>
      <c r="U18" s="5"/>
      <c r="V18" s="518"/>
      <c r="W18" s="5"/>
      <c r="X18" s="384"/>
      <c r="Y18" s="385"/>
      <c r="Z18" s="503"/>
      <c r="AA18" s="385"/>
      <c r="AB18" s="5"/>
      <c r="AC18" s="518"/>
      <c r="AD18" s="5"/>
      <c r="AE18" s="384"/>
      <c r="AF18" s="385"/>
      <c r="AG18" s="503"/>
      <c r="AH18" s="385"/>
      <c r="AI18" s="5"/>
      <c r="AJ18" s="518"/>
    </row>
    <row r="19" spans="1:54" s="244" customFormat="1" ht="23.25" customHeight="1">
      <c r="A19" s="247" t="s">
        <v>88</v>
      </c>
      <c r="B19" s="248" t="s">
        <v>89</v>
      </c>
      <c r="C19" s="390">
        <v>0.44</v>
      </c>
      <c r="D19" s="391">
        <v>0.47028644719965801</v>
      </c>
      <c r="E19" s="391">
        <v>0.45310217819267162</v>
      </c>
      <c r="F19" s="389">
        <f>F11/F3</f>
        <v>0.47525873221216047</v>
      </c>
      <c r="G19" s="279"/>
      <c r="H19" s="280">
        <v>0.45080806889229685</v>
      </c>
      <c r="I19" s="279"/>
      <c r="J19" s="390">
        <f t="shared" ref="J19:M20" si="6">J11/J3</f>
        <v>0.430071161840344</v>
      </c>
      <c r="K19" s="391">
        <f t="shared" si="6"/>
        <v>0.47148756267820285</v>
      </c>
      <c r="L19" s="391">
        <f t="shared" si="6"/>
        <v>0.49170334683153888</v>
      </c>
      <c r="M19" s="389">
        <f t="shared" si="6"/>
        <v>0.46493314262942176</v>
      </c>
      <c r="N19" s="279"/>
      <c r="O19" s="519">
        <f>O11/O3</f>
        <v>0.46743572404099876</v>
      </c>
      <c r="P19" s="243"/>
      <c r="Q19" s="390">
        <v>0.49304383134229485</v>
      </c>
      <c r="R19" s="391">
        <v>0.47558110156644801</v>
      </c>
      <c r="S19" s="391">
        <v>0.48023170359115791</v>
      </c>
      <c r="T19" s="389">
        <f>T11/T3</f>
        <v>0.42820498181165711</v>
      </c>
      <c r="U19" s="243"/>
      <c r="V19" s="519">
        <f>V11/V3</f>
        <v>0.46752819703396808</v>
      </c>
      <c r="W19" s="243"/>
      <c r="X19" s="390">
        <v>0.46451237827624631</v>
      </c>
      <c r="Y19" s="391">
        <v>0.45</v>
      </c>
      <c r="Z19" s="391">
        <v>0.48304805793285044</v>
      </c>
      <c r="AA19" s="391">
        <f>AA11/AA3</f>
        <v>0.45976282076706487</v>
      </c>
      <c r="AB19" s="243"/>
      <c r="AC19" s="519">
        <v>0.4654619026937703</v>
      </c>
      <c r="AD19" s="243"/>
      <c r="AE19" s="390">
        <v>0.51421748551718005</v>
      </c>
      <c r="AF19" s="391">
        <v>0.49524949791441403</v>
      </c>
      <c r="AG19" s="391">
        <v>0.51246887292937304</v>
      </c>
      <c r="AH19" s="391"/>
      <c r="AI19" s="243"/>
      <c r="AJ19" s="519"/>
      <c r="AK19" s="243"/>
      <c r="AL19" s="243"/>
      <c r="AM19" s="243"/>
      <c r="AN19" s="243"/>
      <c r="AO19" s="243"/>
      <c r="AP19" s="243"/>
      <c r="AQ19" s="243"/>
      <c r="AR19" s="243"/>
      <c r="AS19" s="243"/>
      <c r="AT19" s="243"/>
      <c r="AU19" s="243"/>
      <c r="AV19" s="243"/>
      <c r="AW19" s="243"/>
      <c r="AX19" s="243"/>
      <c r="AY19" s="243"/>
      <c r="AZ19" s="243"/>
      <c r="BA19" s="243"/>
      <c r="BB19" s="243"/>
    </row>
    <row r="20" spans="1:54">
      <c r="A20" s="235" t="s">
        <v>289</v>
      </c>
      <c r="B20" s="235" t="s">
        <v>289</v>
      </c>
      <c r="C20" s="256">
        <v>0.5</v>
      </c>
      <c r="D20" s="281">
        <v>0.45920854125565802</v>
      </c>
      <c r="E20" s="281">
        <v>0.53293881196962933</v>
      </c>
      <c r="F20" s="379">
        <f>F12/F4</f>
        <v>0.47260396216312706</v>
      </c>
      <c r="G20" s="258"/>
      <c r="H20" s="294">
        <v>0.49237149488262377</v>
      </c>
      <c r="I20" s="258"/>
      <c r="J20" s="256">
        <f t="shared" si="6"/>
        <v>0.48959854014598542</v>
      </c>
      <c r="K20" s="281">
        <f t="shared" si="6"/>
        <v>0.52188124205556563</v>
      </c>
      <c r="L20" s="281">
        <f t="shared" si="6"/>
        <v>0.57062024456449878</v>
      </c>
      <c r="M20" s="379">
        <f t="shared" si="6"/>
        <v>0.52374095883500327</v>
      </c>
      <c r="N20" s="258"/>
      <c r="O20" s="520">
        <f>O12/O4</f>
        <v>0.53177887496789289</v>
      </c>
      <c r="P20" s="5"/>
      <c r="Q20" s="256">
        <v>0.58054594386774316</v>
      </c>
      <c r="R20" s="281">
        <v>0.54257147320731103</v>
      </c>
      <c r="S20" s="281">
        <v>0.54603425512614401</v>
      </c>
      <c r="T20" s="379">
        <f>T12/T4</f>
        <v>0.48639532934249813</v>
      </c>
      <c r="U20" s="5"/>
      <c r="V20" s="520">
        <f>V12/V4</f>
        <v>0.53677339901477827</v>
      </c>
      <c r="W20" s="5"/>
      <c r="X20" s="256">
        <f>X12/X4</f>
        <v>0.5274634606317774</v>
      </c>
      <c r="Y20" s="281">
        <v>0.55000000000000004</v>
      </c>
      <c r="Z20" s="281">
        <v>0.5813909597055773</v>
      </c>
      <c r="AA20" s="281">
        <f t="shared" ref="AA20:AA24" si="7">AA12/AA4</f>
        <v>0.55588319223818083</v>
      </c>
      <c r="AB20" s="5"/>
      <c r="AC20" s="520">
        <v>0.55458613534661627</v>
      </c>
      <c r="AD20" s="5"/>
      <c r="AE20" s="256">
        <v>0.60481750289260505</v>
      </c>
      <c r="AF20" s="281">
        <v>0.59526382135782396</v>
      </c>
      <c r="AG20" s="281">
        <f>AG12/AG4</f>
        <v>0.58638525068824576</v>
      </c>
      <c r="AH20" s="281"/>
      <c r="AI20" s="5"/>
      <c r="AJ20" s="520"/>
    </row>
    <row r="21" spans="1:54">
      <c r="A21" s="235" t="s">
        <v>290</v>
      </c>
      <c r="B21" s="235" t="s">
        <v>290</v>
      </c>
      <c r="C21" s="257">
        <v>0.41</v>
      </c>
      <c r="D21" s="282">
        <v>0.47795676133955101</v>
      </c>
      <c r="E21" s="282">
        <v>0.43479976326691655</v>
      </c>
      <c r="F21" s="379">
        <f t="shared" ref="F21:F25" si="8">F13/F5</f>
        <v>0.41282843894899524</v>
      </c>
      <c r="G21" s="258"/>
      <c r="H21" s="295">
        <v>0.43352973213843643</v>
      </c>
      <c r="I21" s="258"/>
      <c r="J21" s="256">
        <f t="shared" ref="J21:M25" si="9">J13/J5</f>
        <v>0.43345892991710627</v>
      </c>
      <c r="K21" s="281">
        <f t="shared" si="9"/>
        <v>0.4356519290340749</v>
      </c>
      <c r="L21" s="281">
        <f t="shared" si="9"/>
        <v>0.44252790259457897</v>
      </c>
      <c r="M21" s="379">
        <f t="shared" si="9"/>
        <v>0.41990629352918818</v>
      </c>
      <c r="N21" s="258"/>
      <c r="O21" s="521">
        <f>O13/O5</f>
        <v>0.43244664073178424</v>
      </c>
      <c r="P21" s="5"/>
      <c r="Q21" s="257">
        <v>0.43618306267615081</v>
      </c>
      <c r="R21" s="282">
        <v>0.42733542319749201</v>
      </c>
      <c r="S21" s="282">
        <v>0.40568137190731784</v>
      </c>
      <c r="T21" s="379">
        <f t="shared" ref="T21:V25" si="10">T13/T5</f>
        <v>0.38590604026845626</v>
      </c>
      <c r="U21" s="5"/>
      <c r="V21" s="520">
        <f t="shared" si="10"/>
        <v>0.41368902735858243</v>
      </c>
      <c r="W21" s="5"/>
      <c r="X21" s="256">
        <f t="shared" ref="X21:X24" si="11">X13/X5</f>
        <v>0.4285306704707561</v>
      </c>
      <c r="Y21" s="282">
        <v>0.39</v>
      </c>
      <c r="Z21" s="282">
        <v>0.38607127014638482</v>
      </c>
      <c r="AA21" s="282">
        <f t="shared" si="7"/>
        <v>0.35079136690647439</v>
      </c>
      <c r="AB21" s="5"/>
      <c r="AC21" s="520">
        <v>0.38836284276109678</v>
      </c>
      <c r="AD21" s="5"/>
      <c r="AE21" s="256">
        <v>0.42312615559664302</v>
      </c>
      <c r="AF21" s="282">
        <v>0.37922077922077901</v>
      </c>
      <c r="AG21" s="281">
        <f>AG13/AG5</f>
        <v>0.43863354037267083</v>
      </c>
      <c r="AH21" s="282"/>
      <c r="AI21" s="5"/>
      <c r="AJ21" s="520"/>
    </row>
    <row r="22" spans="1:54">
      <c r="A22" s="235" t="s">
        <v>291</v>
      </c>
      <c r="B22" s="235" t="s">
        <v>291</v>
      </c>
      <c r="C22" s="257">
        <v>0.37</v>
      </c>
      <c r="D22" s="282">
        <v>0.39425051334702299</v>
      </c>
      <c r="E22" s="282">
        <v>0.37456445993031356</v>
      </c>
      <c r="F22" s="379">
        <f t="shared" si="8"/>
        <v>0.35915492957746475</v>
      </c>
      <c r="G22" s="258"/>
      <c r="H22" s="295">
        <v>0.37208333333333338</v>
      </c>
      <c r="I22" s="258"/>
      <c r="J22" s="256">
        <f t="shared" si="9"/>
        <v>0.40330920372285411</v>
      </c>
      <c r="K22" s="281">
        <f t="shared" si="9"/>
        <v>0.38145416227608009</v>
      </c>
      <c r="L22" s="281">
        <f t="shared" si="9"/>
        <v>0.41244813278008308</v>
      </c>
      <c r="M22" s="379">
        <f t="shared" si="9"/>
        <v>0.40368582711715661</v>
      </c>
      <c r="N22" s="258"/>
      <c r="O22" s="521">
        <f t="shared" ref="O22:O25" si="12">O14/O6</f>
        <v>0.40166666666666662</v>
      </c>
      <c r="P22" s="5"/>
      <c r="Q22" s="257">
        <v>0.4107142857142857</v>
      </c>
      <c r="R22" s="282">
        <v>0.419786096256684</v>
      </c>
      <c r="S22" s="282">
        <v>0.4147727272727274</v>
      </c>
      <c r="T22" s="379">
        <f t="shared" si="10"/>
        <v>0.40025252525252514</v>
      </c>
      <c r="U22" s="5"/>
      <c r="V22" s="520">
        <f t="shared" si="10"/>
        <v>0.40994413407821229</v>
      </c>
      <c r="W22" s="5"/>
      <c r="X22" s="256">
        <f t="shared" si="11"/>
        <v>0.41386467413864675</v>
      </c>
      <c r="Y22" s="282">
        <v>0.36</v>
      </c>
      <c r="Z22" s="282">
        <v>0.36823104693140779</v>
      </c>
      <c r="AA22" s="282">
        <f t="shared" si="7"/>
        <v>0.33533312282917577</v>
      </c>
      <c r="AB22" s="5"/>
      <c r="AC22" s="520">
        <v>0.36782768102658114</v>
      </c>
      <c r="AD22" s="5"/>
      <c r="AE22" s="256">
        <v>0.417727272727273</v>
      </c>
      <c r="AF22" s="282">
        <v>0.38891239949217099</v>
      </c>
      <c r="AG22" s="281">
        <f>AG14/AG6</f>
        <v>0.39971139971139957</v>
      </c>
      <c r="AH22" s="282"/>
      <c r="AI22" s="5"/>
      <c r="AJ22" s="520"/>
    </row>
    <row r="23" spans="1:54">
      <c r="A23" s="235" t="s">
        <v>307</v>
      </c>
      <c r="B23" s="235" t="s">
        <v>307</v>
      </c>
      <c r="C23" s="257">
        <v>0</v>
      </c>
      <c r="D23" s="282">
        <v>0</v>
      </c>
      <c r="E23" s="282">
        <v>0</v>
      </c>
      <c r="F23" s="379">
        <v>0</v>
      </c>
      <c r="G23" s="258"/>
      <c r="H23" s="295" t="s">
        <v>28</v>
      </c>
      <c r="I23" s="258"/>
      <c r="J23" s="256">
        <f t="shared" si="9"/>
        <v>0.54545454545454541</v>
      </c>
      <c r="K23" s="281">
        <f t="shared" si="9"/>
        <v>0.53196930946291565</v>
      </c>
      <c r="L23" s="281">
        <f t="shared" si="9"/>
        <v>0.4957264957264958</v>
      </c>
      <c r="M23" s="379">
        <f t="shared" si="9"/>
        <v>0.39860627177700342</v>
      </c>
      <c r="N23" s="258"/>
      <c r="O23" s="521">
        <f t="shared" si="12"/>
        <v>0.45487547488391727</v>
      </c>
      <c r="P23" s="5"/>
      <c r="Q23" s="257">
        <v>0.45933175835302065</v>
      </c>
      <c r="R23" s="282">
        <v>0.453605412243551</v>
      </c>
      <c r="S23" s="282">
        <v>0.5049097613040946</v>
      </c>
      <c r="T23" s="379">
        <f t="shared" si="10"/>
        <v>0.43385241301907962</v>
      </c>
      <c r="U23" s="5"/>
      <c r="V23" s="520">
        <f t="shared" si="10"/>
        <v>0.46340884829794804</v>
      </c>
      <c r="W23" s="5"/>
      <c r="X23" s="256">
        <f>X15/X7</f>
        <v>0.39761431411530818</v>
      </c>
      <c r="Y23" s="282">
        <v>0.38</v>
      </c>
      <c r="Z23" s="282">
        <v>0.46208651399491102</v>
      </c>
      <c r="AA23" s="282">
        <f t="shared" si="7"/>
        <v>0.48807339449541276</v>
      </c>
      <c r="AB23" s="5"/>
      <c r="AC23" s="520">
        <v>0.43857545839210155</v>
      </c>
      <c r="AD23" s="5"/>
      <c r="AE23" s="256">
        <v>0.50755124056094902</v>
      </c>
      <c r="AF23" s="282">
        <v>0.50909973307449596</v>
      </c>
      <c r="AG23" s="281">
        <f>AG15/AG7</f>
        <v>0.51353092783505161</v>
      </c>
      <c r="AH23" s="282"/>
      <c r="AI23" s="5"/>
      <c r="AJ23" s="520"/>
    </row>
    <row r="24" spans="1:54">
      <c r="A24" s="235" t="s">
        <v>267</v>
      </c>
      <c r="B24" s="235" t="s">
        <v>267</v>
      </c>
      <c r="C24" s="256">
        <v>0.53</v>
      </c>
      <c r="D24" s="281">
        <v>0.50898203592814395</v>
      </c>
      <c r="E24" s="281">
        <v>0.52941176470588236</v>
      </c>
      <c r="F24" s="379">
        <f t="shared" si="8"/>
        <v>0.45320197044334942</v>
      </c>
      <c r="G24" s="258"/>
      <c r="H24" s="294">
        <v>0.50286532951289387</v>
      </c>
      <c r="I24" s="258"/>
      <c r="J24" s="256">
        <f t="shared" si="9"/>
        <v>0.58167330677290829</v>
      </c>
      <c r="K24" s="281">
        <f t="shared" si="9"/>
        <v>0.55666666666666664</v>
      </c>
      <c r="L24" s="281">
        <f t="shared" si="9"/>
        <v>0.51037344398340234</v>
      </c>
      <c r="M24" s="379">
        <f t="shared" si="9"/>
        <v>0.44444444444444448</v>
      </c>
      <c r="N24" s="258"/>
      <c r="O24" s="521">
        <f t="shared" si="12"/>
        <v>0.52222222222222225</v>
      </c>
      <c r="P24" s="5"/>
      <c r="Q24" s="256">
        <v>0.51538461538461544</v>
      </c>
      <c r="R24" s="281">
        <v>0.55197132616487499</v>
      </c>
      <c r="S24" s="281">
        <v>0.46385542168674715</v>
      </c>
      <c r="T24" s="379">
        <f t="shared" si="10"/>
        <v>0.35888501742160267</v>
      </c>
      <c r="U24" s="5"/>
      <c r="V24" s="520">
        <f t="shared" si="10"/>
        <v>0.47063903281519864</v>
      </c>
      <c r="W24" s="5"/>
      <c r="X24" s="256">
        <f t="shared" si="11"/>
        <v>0.50224215246636772</v>
      </c>
      <c r="Y24" s="281">
        <v>0.6</v>
      </c>
      <c r="Z24" s="281">
        <v>0.54098360655737721</v>
      </c>
      <c r="AA24" s="281">
        <f t="shared" si="7"/>
        <v>0.53811659192825123</v>
      </c>
      <c r="AB24" s="5"/>
      <c r="AC24" s="520">
        <v>0.54485049833887045</v>
      </c>
      <c r="AD24" s="5"/>
      <c r="AE24" s="256">
        <v>0.61077844311377205</v>
      </c>
      <c r="AF24" s="281">
        <v>0.59447004608294896</v>
      </c>
      <c r="AG24" s="281">
        <f>AG16/AG8</f>
        <v>0.57786885245901654</v>
      </c>
      <c r="AH24" s="281"/>
      <c r="AI24" s="5"/>
      <c r="AJ24" s="520"/>
    </row>
    <row r="25" spans="1:54">
      <c r="A25" s="235" t="s">
        <v>295</v>
      </c>
      <c r="B25" s="235" t="s">
        <v>296</v>
      </c>
      <c r="C25" s="257">
        <v>-1.97</v>
      </c>
      <c r="D25" s="282">
        <v>2.4666666666666699</v>
      </c>
      <c r="E25" s="282">
        <v>-0.16233090530697228</v>
      </c>
      <c r="F25" s="379">
        <f t="shared" si="8"/>
        <v>0.46025104602509886</v>
      </c>
      <c r="G25" s="258"/>
      <c r="H25" s="295">
        <v>-9.3457943925233794E-3</v>
      </c>
      <c r="I25" s="258"/>
      <c r="J25" s="256">
        <f t="shared" si="9"/>
        <v>6.993006993007006E-3</v>
      </c>
      <c r="K25" s="281">
        <f t="shared" si="9"/>
        <v>4.8780487804878224E-2</v>
      </c>
      <c r="L25" s="281">
        <f t="shared" si="9"/>
        <v>9.079445145018894E-2</v>
      </c>
      <c r="M25" s="379">
        <f t="shared" si="9"/>
        <v>0.825431034482762</v>
      </c>
      <c r="N25" s="258"/>
      <c r="O25" s="521">
        <f t="shared" si="12"/>
        <v>0.24327122153209133</v>
      </c>
      <c r="P25" s="5"/>
      <c r="Q25" s="257">
        <v>0.26142131979695526</v>
      </c>
      <c r="R25" s="282">
        <v>-0.45406546990496499</v>
      </c>
      <c r="S25" s="282">
        <v>0.19521912350597512</v>
      </c>
      <c r="T25" s="379">
        <f t="shared" si="10"/>
        <v>-0.13458950201884201</v>
      </c>
      <c r="U25" s="5"/>
      <c r="V25" s="520">
        <f t="shared" si="10"/>
        <v>-6.0763888888888881E-3</v>
      </c>
      <c r="W25" s="5"/>
      <c r="X25" s="256"/>
      <c r="Y25" s="282"/>
      <c r="Z25" s="282"/>
      <c r="AA25" s="282"/>
      <c r="AB25" s="5"/>
      <c r="AC25" s="520">
        <v>0</v>
      </c>
      <c r="AD25" s="5"/>
      <c r="AE25" s="256"/>
      <c r="AF25" s="282"/>
      <c r="AG25" s="282"/>
      <c r="AH25" s="282"/>
      <c r="AI25" s="5"/>
      <c r="AJ25" s="520"/>
    </row>
    <row r="26" spans="1:54">
      <c r="A26" s="236"/>
      <c r="B26" s="5"/>
      <c r="C26" s="384"/>
      <c r="D26" s="385"/>
      <c r="E26" s="385"/>
      <c r="F26" s="386"/>
      <c r="G26" s="249"/>
      <c r="H26" s="251"/>
      <c r="I26" s="249"/>
      <c r="J26" s="384"/>
      <c r="K26" s="385"/>
      <c r="L26" s="385"/>
      <c r="M26" s="386"/>
      <c r="N26" s="249"/>
      <c r="O26" s="518"/>
      <c r="P26" s="5"/>
      <c r="Q26" s="384"/>
      <c r="R26" s="385"/>
      <c r="S26" s="503"/>
      <c r="T26" s="386"/>
      <c r="U26" s="5"/>
      <c r="V26" s="518"/>
      <c r="W26" s="5"/>
      <c r="X26" s="384"/>
      <c r="Y26" s="385"/>
      <c r="Z26" s="503"/>
      <c r="AA26" s="385"/>
      <c r="AB26" s="5"/>
      <c r="AC26" s="518"/>
      <c r="AD26" s="5"/>
      <c r="AE26" s="384"/>
      <c r="AF26" s="385"/>
      <c r="AG26" s="503"/>
      <c r="AH26" s="385"/>
      <c r="AI26" s="5"/>
      <c r="AJ26" s="518"/>
    </row>
    <row r="27" spans="1:54" s="244" customFormat="1" ht="23.25" customHeight="1">
      <c r="A27" s="247" t="s">
        <v>294</v>
      </c>
      <c r="B27" s="248" t="s">
        <v>293</v>
      </c>
      <c r="C27" s="381">
        <v>-209.4</v>
      </c>
      <c r="D27" s="382">
        <v>102.2</v>
      </c>
      <c r="E27" s="382">
        <v>83.2</v>
      </c>
      <c r="F27" s="383">
        <f>H27-E27-D27-C27</f>
        <v>-86.000000000000142</v>
      </c>
      <c r="G27" s="250"/>
      <c r="H27" s="296">
        <v>-110.00000000000017</v>
      </c>
      <c r="I27" s="250"/>
      <c r="J27" s="381">
        <f>SUM(J28:J33)</f>
        <v>-30.2</v>
      </c>
      <c r="K27" s="382">
        <f>SUM(K28:K33)</f>
        <v>202.8</v>
      </c>
      <c r="L27" s="382">
        <f>SUM(L28:L33)</f>
        <v>142.98573000024464</v>
      </c>
      <c r="M27" s="383">
        <f>O27-L27-K27-J27</f>
        <v>6.1742699997555626</v>
      </c>
      <c r="N27" s="250"/>
      <c r="O27" s="522">
        <f>SUM(O28:O33)</f>
        <v>321.76000000000022</v>
      </c>
      <c r="P27" s="243"/>
      <c r="Q27" s="381">
        <v>69.94</v>
      </c>
      <c r="R27" s="382">
        <v>195.23</v>
      </c>
      <c r="S27" s="382">
        <v>144.27000000000001</v>
      </c>
      <c r="T27" s="383">
        <f t="shared" ref="T27:T33" si="13">V27-SUM(Q27:S27)</f>
        <v>40.86000000000007</v>
      </c>
      <c r="U27" s="243"/>
      <c r="V27" s="522">
        <f>SUM(V28:V33)</f>
        <v>450.3</v>
      </c>
      <c r="W27" s="243"/>
      <c r="X27" s="587"/>
      <c r="Y27" s="587"/>
      <c r="Z27" s="587"/>
      <c r="AA27" s="579"/>
      <c r="AB27" s="243"/>
      <c r="AC27" s="573"/>
      <c r="AD27" s="243"/>
      <c r="AE27" s="587"/>
      <c r="AF27" s="587"/>
      <c r="AG27" s="587"/>
      <c r="AH27" s="579"/>
      <c r="AI27" s="243"/>
      <c r="AJ27" s="573"/>
      <c r="AK27" s="243"/>
      <c r="AL27" s="243"/>
      <c r="AM27" s="243"/>
      <c r="AN27" s="243"/>
      <c r="AO27" s="243"/>
      <c r="AP27" s="243"/>
      <c r="AQ27" s="243"/>
      <c r="AR27" s="243"/>
      <c r="AS27" s="243"/>
      <c r="AT27" s="243"/>
      <c r="AU27" s="243"/>
      <c r="AV27" s="243"/>
      <c r="AW27" s="243"/>
      <c r="AX27" s="243"/>
      <c r="AY27" s="243"/>
      <c r="AZ27" s="243"/>
      <c r="BA27" s="243"/>
      <c r="BB27" s="243"/>
    </row>
    <row r="28" spans="1:54">
      <c r="A28" s="235" t="s">
        <v>289</v>
      </c>
      <c r="B28" s="235" t="s">
        <v>289</v>
      </c>
      <c r="C28" s="286">
        <v>-236.5</v>
      </c>
      <c r="D28" s="287">
        <v>31.8000000000001</v>
      </c>
      <c r="E28" s="287">
        <v>60.499999999999972</v>
      </c>
      <c r="F28" s="259">
        <f>H28-E28-D28-C28</f>
        <v>-155.10000000000008</v>
      </c>
      <c r="G28" s="260"/>
      <c r="H28" s="253">
        <v>-299.29999999999995</v>
      </c>
      <c r="I28" s="260"/>
      <c r="J28" s="286">
        <v>-97.8</v>
      </c>
      <c r="K28" s="287">
        <v>126.5</v>
      </c>
      <c r="L28" s="287">
        <v>81.485730000244658</v>
      </c>
      <c r="M28" s="259">
        <f>O28-L28-K28-J28</f>
        <v>-50.685730000244646</v>
      </c>
      <c r="N28" s="260"/>
      <c r="O28" s="516">
        <v>59.500000000000007</v>
      </c>
      <c r="P28" s="5"/>
      <c r="Q28" s="286">
        <v>4.8000000000000735</v>
      </c>
      <c r="R28" s="287">
        <v>136.24</v>
      </c>
      <c r="S28" s="504">
        <v>83.659999999999982</v>
      </c>
      <c r="T28" s="259">
        <f t="shared" si="13"/>
        <v>59.299999999999955</v>
      </c>
      <c r="U28" s="5"/>
      <c r="V28" s="516">
        <v>284</v>
      </c>
      <c r="W28" s="5"/>
      <c r="X28" s="588"/>
      <c r="Y28" s="588"/>
      <c r="Z28" s="588"/>
      <c r="AA28" s="580"/>
      <c r="AB28" s="5"/>
      <c r="AC28" s="574"/>
      <c r="AD28" s="5"/>
      <c r="AE28" s="588"/>
      <c r="AF28" s="588"/>
      <c r="AG28" s="588"/>
      <c r="AH28" s="580"/>
      <c r="AI28" s="5"/>
      <c r="AJ28" s="574"/>
    </row>
    <row r="29" spans="1:54">
      <c r="A29" s="235" t="s">
        <v>290</v>
      </c>
      <c r="B29" s="235" t="s">
        <v>290</v>
      </c>
      <c r="C29" s="288">
        <v>29.6</v>
      </c>
      <c r="D29" s="289">
        <v>58.8</v>
      </c>
      <c r="E29" s="289">
        <v>39.199999999999989</v>
      </c>
      <c r="F29" s="259">
        <f t="shared" ref="F29:F34" si="14">H29-E29-D29-C29</f>
        <v>56.900000000000041</v>
      </c>
      <c r="G29" s="260"/>
      <c r="H29" s="253">
        <v>184.50000000000003</v>
      </c>
      <c r="I29" s="260"/>
      <c r="J29" s="288">
        <v>64.8</v>
      </c>
      <c r="K29" s="289">
        <v>73.400000000000006</v>
      </c>
      <c r="L29" s="289">
        <v>54.3</v>
      </c>
      <c r="M29" s="259">
        <f t="shared" ref="M29:M33" si="15">O29-L29-K29-J29</f>
        <v>38.300000000000168</v>
      </c>
      <c r="N29" s="260"/>
      <c r="O29" s="516">
        <v>230.80000000000015</v>
      </c>
      <c r="P29" s="5"/>
      <c r="Q29" s="288">
        <v>66.000000000000014</v>
      </c>
      <c r="R29" s="289">
        <v>61.6</v>
      </c>
      <c r="S29" s="289">
        <v>18.600000000000108</v>
      </c>
      <c r="T29" s="259">
        <f t="shared" si="13"/>
        <v>-37.500000000000128</v>
      </c>
      <c r="U29" s="5"/>
      <c r="V29" s="516">
        <v>108.7</v>
      </c>
      <c r="W29" s="5"/>
      <c r="X29" s="589"/>
      <c r="Y29" s="589"/>
      <c r="Z29" s="589"/>
      <c r="AA29" s="581"/>
      <c r="AB29" s="5"/>
      <c r="AC29" s="574"/>
      <c r="AD29" s="5"/>
      <c r="AE29" s="589"/>
      <c r="AF29" s="589"/>
      <c r="AG29" s="589"/>
      <c r="AH29" s="581"/>
      <c r="AI29" s="5"/>
      <c r="AJ29" s="574"/>
    </row>
    <row r="30" spans="1:54">
      <c r="A30" s="235" t="s">
        <v>291</v>
      </c>
      <c r="B30" s="235" t="s">
        <v>291</v>
      </c>
      <c r="C30" s="288">
        <v>1.7</v>
      </c>
      <c r="D30" s="289">
        <v>0.500000000000001</v>
      </c>
      <c r="E30" s="289">
        <v>-0.20000000000000506</v>
      </c>
      <c r="F30" s="259">
        <f t="shared" si="14"/>
        <v>3.5000000000000036</v>
      </c>
      <c r="G30" s="260"/>
      <c r="H30" s="253">
        <v>5.5</v>
      </c>
      <c r="I30" s="260"/>
      <c r="J30" s="288">
        <v>5.4</v>
      </c>
      <c r="K30" s="289">
        <v>5.5</v>
      </c>
      <c r="L30" s="289">
        <v>7.4999999999999893</v>
      </c>
      <c r="M30" s="259">
        <f t="shared" si="15"/>
        <v>27.900000000000013</v>
      </c>
      <c r="N30" s="260"/>
      <c r="O30" s="516">
        <v>46.300000000000004</v>
      </c>
      <c r="P30" s="5"/>
      <c r="Q30" s="288">
        <v>5.7000000000000046</v>
      </c>
      <c r="R30" s="289">
        <v>9.2999999999999901</v>
      </c>
      <c r="S30" s="289">
        <v>8.8000000000000043</v>
      </c>
      <c r="T30" s="259">
        <f t="shared" si="13"/>
        <v>11</v>
      </c>
      <c r="U30" s="5"/>
      <c r="V30" s="516">
        <v>34.799999999999997</v>
      </c>
      <c r="W30" s="5"/>
      <c r="X30" s="589"/>
      <c r="Y30" s="589"/>
      <c r="Z30" s="589"/>
      <c r="AA30" s="581"/>
      <c r="AB30" s="5"/>
      <c r="AC30" s="574"/>
      <c r="AD30" s="5"/>
      <c r="AE30" s="589"/>
      <c r="AF30" s="589"/>
      <c r="AG30" s="589"/>
      <c r="AH30" s="581"/>
      <c r="AI30" s="5"/>
      <c r="AJ30" s="574"/>
    </row>
    <row r="31" spans="1:54">
      <c r="A31" s="235" t="s">
        <v>307</v>
      </c>
      <c r="B31" s="235" t="s">
        <v>307</v>
      </c>
      <c r="C31" s="288">
        <v>0</v>
      </c>
      <c r="D31" s="289">
        <v>0</v>
      </c>
      <c r="E31" s="289">
        <v>0</v>
      </c>
      <c r="F31" s="259">
        <f t="shared" si="14"/>
        <v>0</v>
      </c>
      <c r="G31" s="260"/>
      <c r="H31" s="253">
        <v>0</v>
      </c>
      <c r="I31" s="260"/>
      <c r="J31" s="288">
        <v>-2.8</v>
      </c>
      <c r="K31" s="289">
        <v>-0.100000000000001</v>
      </c>
      <c r="L31" s="289">
        <v>2.6999999999999993</v>
      </c>
      <c r="M31" s="259">
        <f t="shared" si="15"/>
        <v>-37.640000000000008</v>
      </c>
      <c r="N31" s="260"/>
      <c r="O31" s="516">
        <v>-37.840000000000003</v>
      </c>
      <c r="P31" s="5"/>
      <c r="Q31" s="288">
        <v>-11.559999999999997</v>
      </c>
      <c r="R31" s="289">
        <v>-0.81000000000001304</v>
      </c>
      <c r="S31" s="289">
        <v>24.910000000000007</v>
      </c>
      <c r="T31" s="394">
        <f t="shared" si="13"/>
        <v>4.2600000000000033</v>
      </c>
      <c r="U31" s="5"/>
      <c r="V31" s="516">
        <v>16.8</v>
      </c>
      <c r="W31" s="5"/>
      <c r="X31" s="589"/>
      <c r="Y31" s="589"/>
      <c r="Z31" s="589"/>
      <c r="AA31" s="581"/>
      <c r="AB31" s="5"/>
      <c r="AC31" s="574"/>
      <c r="AD31" s="5"/>
      <c r="AE31" s="589"/>
      <c r="AF31" s="589"/>
      <c r="AG31" s="589"/>
      <c r="AH31" s="581"/>
      <c r="AI31" s="5"/>
      <c r="AJ31" s="574"/>
    </row>
    <row r="32" spans="1:54">
      <c r="A32" s="235" t="s">
        <v>267</v>
      </c>
      <c r="B32" s="235" t="s">
        <v>267</v>
      </c>
      <c r="C32" s="286">
        <v>3.5</v>
      </c>
      <c r="D32" s="287">
        <v>3</v>
      </c>
      <c r="E32" s="287">
        <v>3.5999999999999996</v>
      </c>
      <c r="F32" s="259">
        <f t="shared" si="14"/>
        <v>-0.50000000000000533</v>
      </c>
      <c r="G32" s="260"/>
      <c r="H32" s="253">
        <v>9.5999999999999943</v>
      </c>
      <c r="I32" s="260"/>
      <c r="J32" s="286">
        <v>3.6</v>
      </c>
      <c r="K32" s="287">
        <v>2.8</v>
      </c>
      <c r="L32" s="287">
        <v>-0.40000000000000568</v>
      </c>
      <c r="M32" s="259">
        <f t="shared" si="15"/>
        <v>-3.8999999999999928</v>
      </c>
      <c r="N32" s="260"/>
      <c r="O32" s="516">
        <v>2.1000000000000014</v>
      </c>
      <c r="P32" s="5"/>
      <c r="Q32" s="286">
        <v>1.0000000000000018</v>
      </c>
      <c r="R32" s="287">
        <v>4.4000000000000004</v>
      </c>
      <c r="S32" s="504">
        <v>5.0000000000000089</v>
      </c>
      <c r="T32" s="394">
        <f t="shared" si="13"/>
        <v>-1.2000000000000117</v>
      </c>
      <c r="U32" s="5"/>
      <c r="V32" s="516">
        <v>9.1999999999999993</v>
      </c>
      <c r="W32" s="5"/>
      <c r="X32" s="588"/>
      <c r="Y32" s="588"/>
      <c r="Z32" s="588"/>
      <c r="AA32" s="580"/>
      <c r="AB32" s="5"/>
      <c r="AC32" s="574"/>
      <c r="AD32" s="5"/>
      <c r="AE32" s="588"/>
      <c r="AF32" s="588"/>
      <c r="AG32" s="588"/>
      <c r="AH32" s="580"/>
      <c r="AI32" s="5"/>
      <c r="AJ32" s="574"/>
    </row>
    <row r="33" spans="1:54">
      <c r="A33" s="235" t="s">
        <v>295</v>
      </c>
      <c r="B33" s="235" t="s">
        <v>296</v>
      </c>
      <c r="C33" s="288">
        <v>-7.7</v>
      </c>
      <c r="D33" s="289">
        <v>8.1</v>
      </c>
      <c r="E33" s="289">
        <v>-19.900000000000002</v>
      </c>
      <c r="F33" s="259">
        <f t="shared" si="14"/>
        <v>9.1999999999999993</v>
      </c>
      <c r="G33" s="260"/>
      <c r="H33" s="253">
        <v>-10.300000000000002</v>
      </c>
      <c r="I33" s="260"/>
      <c r="J33" s="288">
        <v>-3.4</v>
      </c>
      <c r="K33" s="289">
        <v>-5.3</v>
      </c>
      <c r="L33" s="289">
        <v>-2.5999999999999996</v>
      </c>
      <c r="M33" s="259">
        <f t="shared" si="15"/>
        <v>32.200000000000003</v>
      </c>
      <c r="N33" s="260"/>
      <c r="O33" s="516">
        <v>20.9</v>
      </c>
      <c r="P33" s="5"/>
      <c r="Q33" s="288">
        <v>4</v>
      </c>
      <c r="R33" s="289">
        <v>-15.5</v>
      </c>
      <c r="S33" s="289">
        <v>3.3000000000000025</v>
      </c>
      <c r="T33" s="394">
        <f t="shared" si="13"/>
        <v>4.9999999999999973</v>
      </c>
      <c r="U33" s="5"/>
      <c r="V33" s="516">
        <v>-3.2</v>
      </c>
      <c r="W33" s="5"/>
      <c r="X33" s="589"/>
      <c r="Y33" s="589"/>
      <c r="Z33" s="589"/>
      <c r="AA33" s="581"/>
      <c r="AB33" s="5"/>
      <c r="AC33" s="574"/>
      <c r="AD33" s="5"/>
      <c r="AE33" s="589"/>
      <c r="AF33" s="589"/>
      <c r="AG33" s="589"/>
      <c r="AH33" s="581"/>
      <c r="AI33" s="5"/>
      <c r="AJ33" s="574"/>
    </row>
    <row r="34" spans="1:54">
      <c r="A34" s="236"/>
      <c r="B34" s="5"/>
      <c r="C34" s="384"/>
      <c r="D34" s="385"/>
      <c r="E34" s="385"/>
      <c r="F34" s="259">
        <f t="shared" si="14"/>
        <v>0</v>
      </c>
      <c r="G34" s="249"/>
      <c r="H34" s="251"/>
      <c r="I34" s="249"/>
      <c r="J34" s="384"/>
      <c r="K34" s="385"/>
      <c r="L34" s="385"/>
      <c r="M34" s="386"/>
      <c r="N34" s="249"/>
      <c r="O34" s="518"/>
      <c r="P34" s="5"/>
      <c r="Q34" s="384"/>
      <c r="R34" s="385"/>
      <c r="S34" s="503"/>
      <c r="T34" s="386"/>
      <c r="U34" s="5"/>
      <c r="V34" s="518"/>
      <c r="W34" s="5"/>
      <c r="X34" s="590"/>
      <c r="Y34" s="590"/>
      <c r="Z34" s="590"/>
      <c r="AA34" s="582"/>
      <c r="AB34" s="5"/>
      <c r="AC34" s="575"/>
      <c r="AD34" s="5"/>
      <c r="AE34" s="590"/>
      <c r="AF34" s="590"/>
      <c r="AG34" s="590"/>
      <c r="AH34" s="582"/>
      <c r="AI34" s="5"/>
      <c r="AJ34" s="575"/>
    </row>
    <row r="35" spans="1:54" s="244" customFormat="1" ht="23.25" customHeight="1">
      <c r="A35" s="247" t="s">
        <v>277</v>
      </c>
      <c r="B35" s="248" t="s">
        <v>269</v>
      </c>
      <c r="C35" s="387">
        <f>C27/C3</f>
        <v>-0.2713489698069198</v>
      </c>
      <c r="D35" s="388">
        <f>D27/D3</f>
        <v>7.0144131777625254E-2</v>
      </c>
      <c r="E35" s="388">
        <f>E27/E3</f>
        <v>5.1335842537175297E-2</v>
      </c>
      <c r="F35" s="389">
        <f>F27/F3</f>
        <v>-6.9534282018111376E-2</v>
      </c>
      <c r="G35" s="261"/>
      <c r="H35" s="280">
        <v>-2.1627147969014229E-2</v>
      </c>
      <c r="I35" s="261"/>
      <c r="J35" s="387">
        <f>J27/J3</f>
        <v>-2.1278094835482285E-2</v>
      </c>
      <c r="K35" s="388">
        <f>K27/K3</f>
        <v>9.9695211876904943E-2</v>
      </c>
      <c r="L35" s="388">
        <f>L27/L3</f>
        <v>6.9569874396192249E-2</v>
      </c>
      <c r="M35" s="389">
        <f>M27/M3</f>
        <v>3.0371470207774449E-3</v>
      </c>
      <c r="N35" s="249"/>
      <c r="O35" s="519">
        <f t="shared" ref="O35" si="16">O27/O3</f>
        <v>4.2664120821565461E-2</v>
      </c>
      <c r="P35" s="243"/>
      <c r="Q35" s="387">
        <f>Q27/Q3</f>
        <v>3.7366700147457958E-2</v>
      </c>
      <c r="R35" s="388">
        <f>R27/R3</f>
        <v>8.2119121729620589E-2</v>
      </c>
      <c r="S35" s="388">
        <f>S27/S3</f>
        <v>5.9564998389800422E-2</v>
      </c>
      <c r="T35" s="389">
        <f>T27/T3</f>
        <v>1.6663132310001178E-2</v>
      </c>
      <c r="U35" s="243"/>
      <c r="V35" s="519">
        <f>V27/V3</f>
        <v>4.9357140508368688E-2</v>
      </c>
      <c r="W35" s="243"/>
      <c r="X35" s="591"/>
      <c r="Y35" s="591"/>
      <c r="Z35" s="591"/>
      <c r="AA35" s="583"/>
      <c r="AB35" s="243"/>
      <c r="AC35" s="576"/>
      <c r="AD35" s="243"/>
      <c r="AE35" s="591"/>
      <c r="AF35" s="591"/>
      <c r="AG35" s="591"/>
      <c r="AH35" s="583"/>
      <c r="AI35" s="243"/>
      <c r="AJ35" s="576"/>
      <c r="AK35" s="243"/>
      <c r="AL35" s="243"/>
      <c r="AM35" s="243"/>
      <c r="AN35" s="243"/>
      <c r="AO35" s="243"/>
      <c r="AP35" s="243"/>
      <c r="AQ35" s="243"/>
      <c r="AR35" s="243"/>
      <c r="AS35" s="243"/>
      <c r="AT35" s="243"/>
      <c r="AU35" s="243"/>
      <c r="AV35" s="243"/>
      <c r="AW35" s="243"/>
      <c r="AX35" s="243"/>
      <c r="AY35" s="243"/>
      <c r="AZ35" s="243"/>
      <c r="BA35" s="243"/>
      <c r="BB35" s="243"/>
    </row>
    <row r="36" spans="1:54">
      <c r="A36" s="235" t="s">
        <v>289</v>
      </c>
      <c r="B36" s="235" t="s">
        <v>289</v>
      </c>
      <c r="C36" s="262">
        <f t="shared" ref="C36:D41" si="17">C28/C4</f>
        <v>-0.76118442227228844</v>
      </c>
      <c r="D36" s="283">
        <f t="shared" si="17"/>
        <v>3.6903794824184863E-2</v>
      </c>
      <c r="E36" s="283">
        <f t="shared" ref="E36:F36" si="18">E28/E4</f>
        <v>6.7552478785171927E-2</v>
      </c>
      <c r="F36" s="379">
        <f t="shared" si="18"/>
        <v>-0.2768159914331611</v>
      </c>
      <c r="G36" s="265"/>
      <c r="H36" s="294">
        <v>-0.11387588935814023</v>
      </c>
      <c r="I36" s="265"/>
      <c r="J36" s="479">
        <f>J28/J4</f>
        <v>-0.17846715328467153</v>
      </c>
      <c r="K36" s="281">
        <f t="shared" ref="K36:M36" si="19">K28/K4</f>
        <v>0.11485382240784456</v>
      </c>
      <c r="L36" s="281">
        <f t="shared" si="19"/>
        <v>7.8082707648743879E-2</v>
      </c>
      <c r="M36" s="379">
        <f t="shared" si="19"/>
        <v>-6.2504158793180081E-2</v>
      </c>
      <c r="N36" s="249"/>
      <c r="O36" s="520">
        <f t="shared" ref="O36" si="20">O28/O4</f>
        <v>1.6981078227118356E-2</v>
      </c>
      <c r="P36" s="5"/>
      <c r="Q36" s="262">
        <f t="shared" ref="Q36:S41" si="21">Q28/Q4</f>
        <v>6.1505343276698097E-3</v>
      </c>
      <c r="R36" s="283">
        <f t="shared" si="21"/>
        <v>0.11824541304310091</v>
      </c>
      <c r="S36" s="283">
        <f t="shared" si="21"/>
        <v>7.513853836412461E-2</v>
      </c>
      <c r="T36" s="379">
        <f>T28/T4</f>
        <v>5.8481839071391206E-2</v>
      </c>
      <c r="U36" s="5"/>
      <c r="V36" s="520">
        <f>V28/V4</f>
        <v>6.9950738916256153E-2</v>
      </c>
      <c r="W36" s="5"/>
      <c r="X36" s="592"/>
      <c r="Y36" s="592"/>
      <c r="Z36" s="592"/>
      <c r="AA36" s="584"/>
      <c r="AB36" s="5"/>
      <c r="AC36" s="577"/>
      <c r="AD36" s="5"/>
      <c r="AE36" s="592"/>
      <c r="AF36" s="592"/>
      <c r="AG36" s="592"/>
      <c r="AH36" s="584"/>
      <c r="AI36" s="5"/>
      <c r="AJ36" s="577"/>
    </row>
    <row r="37" spans="1:54">
      <c r="A37" s="235" t="s">
        <v>290</v>
      </c>
      <c r="B37" s="235" t="s">
        <v>290</v>
      </c>
      <c r="C37" s="263">
        <f t="shared" si="17"/>
        <v>7.5126903553299498E-2</v>
      </c>
      <c r="D37" s="284">
        <f t="shared" si="17"/>
        <v>0.12462908011869435</v>
      </c>
      <c r="E37" s="284">
        <f t="shared" ref="E37:F37" si="22">E29/E5</f>
        <v>7.7332807259814534E-2</v>
      </c>
      <c r="F37" s="379">
        <f t="shared" si="22"/>
        <v>8.7944358578052578E-2</v>
      </c>
      <c r="G37" s="265"/>
      <c r="H37" s="295">
        <v>9.1350200524830436E-2</v>
      </c>
      <c r="I37" s="265"/>
      <c r="J37" s="479">
        <f t="shared" ref="J37:M37" si="23">J29/J5</f>
        <v>9.7663903541823652E-2</v>
      </c>
      <c r="K37" s="281">
        <f t="shared" si="23"/>
        <v>0.10335116868487752</v>
      </c>
      <c r="L37" s="281">
        <f t="shared" si="23"/>
        <v>7.8707058994057097E-2</v>
      </c>
      <c r="M37" s="379">
        <f t="shared" si="23"/>
        <v>4.8499430163353369E-2</v>
      </c>
      <c r="N37" s="249"/>
      <c r="O37" s="520">
        <f t="shared" ref="O37" si="24">O29/O5</f>
        <v>8.0888795429853208E-2</v>
      </c>
      <c r="P37" s="5"/>
      <c r="Q37" s="263">
        <f t="shared" ref="Q37:R37" si="25">Q29/Q5</f>
        <v>8.8578714266541417E-2</v>
      </c>
      <c r="R37" s="284">
        <f t="shared" si="25"/>
        <v>7.7241379310344832E-2</v>
      </c>
      <c r="S37" s="284">
        <f t="shared" si="21"/>
        <v>2.4348736745647477E-2</v>
      </c>
      <c r="T37" s="379">
        <f t="shared" ref="T37:V41" si="26">T29/T5</f>
        <v>-4.8399586990191173E-2</v>
      </c>
      <c r="U37" s="5"/>
      <c r="V37" s="520">
        <f t="shared" si="26"/>
        <v>3.5277318015123488E-2</v>
      </c>
      <c r="W37" s="5"/>
      <c r="X37" s="593"/>
      <c r="Y37" s="593"/>
      <c r="Z37" s="593"/>
      <c r="AA37" s="585"/>
      <c r="AB37" s="5"/>
      <c r="AC37" s="577"/>
      <c r="AD37" s="5"/>
      <c r="AE37" s="593"/>
      <c r="AF37" s="593"/>
      <c r="AG37" s="593"/>
      <c r="AH37" s="585"/>
      <c r="AI37" s="5"/>
      <c r="AJ37" s="577"/>
    </row>
    <row r="38" spans="1:54">
      <c r="A38" s="235" t="s">
        <v>291</v>
      </c>
      <c r="B38" s="235" t="s">
        <v>291</v>
      </c>
      <c r="C38" s="263">
        <f t="shared" si="17"/>
        <v>4.9275362318840575E-2</v>
      </c>
      <c r="D38" s="284">
        <f t="shared" si="17"/>
        <v>1.02669404517454E-2</v>
      </c>
      <c r="E38" s="284">
        <f t="shared" ref="E38:F38" si="27">E30/E6</f>
        <v>-3.4843205574913781E-3</v>
      </c>
      <c r="F38" s="379">
        <f t="shared" si="27"/>
        <v>3.5211267605633825E-2</v>
      </c>
      <c r="G38" s="265"/>
      <c r="H38" s="295">
        <v>2.2916666666666665E-2</v>
      </c>
      <c r="I38" s="265"/>
      <c r="J38" s="479">
        <f t="shared" ref="J38:M38" si="28">J30/J6</f>
        <v>5.5842812823164417E-2</v>
      </c>
      <c r="K38" s="281">
        <f t="shared" si="28"/>
        <v>5.7955742887249737E-2</v>
      </c>
      <c r="L38" s="281">
        <f t="shared" si="28"/>
        <v>6.2240663900414855E-2</v>
      </c>
      <c r="M38" s="379">
        <f t="shared" si="28"/>
        <v>0.122422114962703</v>
      </c>
      <c r="N38" s="249"/>
      <c r="O38" s="520">
        <f t="shared" ref="O38" si="29">O30/O6</f>
        <v>8.5740740740740742E-2</v>
      </c>
      <c r="P38" s="5"/>
      <c r="Q38" s="263">
        <f t="shared" ref="Q38:R39" si="30">Q30/Q6</f>
        <v>3.5098522167487711E-2</v>
      </c>
      <c r="R38" s="284">
        <f t="shared" si="30"/>
        <v>4.9732620320855563E-2</v>
      </c>
      <c r="S38" s="284">
        <f t="shared" si="21"/>
        <v>3.8461538461538484E-2</v>
      </c>
      <c r="T38" s="379">
        <f t="shared" si="26"/>
        <v>3.4722222222222217E-2</v>
      </c>
      <c r="U38" s="5"/>
      <c r="V38" s="520">
        <f t="shared" si="26"/>
        <v>3.8882681564245805E-2</v>
      </c>
      <c r="W38" s="5"/>
      <c r="X38" s="593"/>
      <c r="Y38" s="593"/>
      <c r="Z38" s="593"/>
      <c r="AA38" s="585"/>
      <c r="AB38" s="5"/>
      <c r="AC38" s="577"/>
      <c r="AD38" s="5"/>
      <c r="AE38" s="593"/>
      <c r="AF38" s="593"/>
      <c r="AG38" s="593"/>
      <c r="AH38" s="585"/>
      <c r="AI38" s="5"/>
      <c r="AJ38" s="577"/>
    </row>
    <row r="39" spans="1:54">
      <c r="A39" s="235" t="s">
        <v>307</v>
      </c>
      <c r="B39" s="235" t="s">
        <v>307</v>
      </c>
      <c r="C39" s="263"/>
      <c r="D39" s="284"/>
      <c r="E39" s="284"/>
      <c r="F39" s="379"/>
      <c r="G39" s="265"/>
      <c r="H39" s="253">
        <v>0</v>
      </c>
      <c r="I39" s="265"/>
      <c r="J39" s="479">
        <f t="shared" ref="J39:M39" si="31">J31/J7</f>
        <v>-2.545454545454545</v>
      </c>
      <c r="K39" s="281">
        <f t="shared" si="31"/>
        <v>-2.5575447570332739E-3</v>
      </c>
      <c r="L39" s="281">
        <f t="shared" si="31"/>
        <v>3.2967032967032961E-2</v>
      </c>
      <c r="M39" s="379">
        <f t="shared" si="31"/>
        <v>-0.32787456445993035</v>
      </c>
      <c r="N39" s="249"/>
      <c r="O39" s="520">
        <f t="shared" ref="O39" si="32">O31/O7</f>
        <v>-0.15972984381595612</v>
      </c>
      <c r="P39" s="5"/>
      <c r="Q39" s="263">
        <f t="shared" si="30"/>
        <v>-9.7536280796490016E-2</v>
      </c>
      <c r="R39" s="284">
        <f t="shared" si="30"/>
        <v>-4.4552004840218524E-3</v>
      </c>
      <c r="S39" s="284">
        <f t="shared" si="21"/>
        <v>9.6681544731224547E-2</v>
      </c>
      <c r="T39" s="379">
        <f t="shared" si="26"/>
        <v>1.4941077441077453E-2</v>
      </c>
      <c r="U39" s="5"/>
      <c r="V39" s="520">
        <f t="shared" si="26"/>
        <v>1.9926461866919702E-2</v>
      </c>
      <c r="W39" s="5"/>
      <c r="X39" s="593"/>
      <c r="Y39" s="593"/>
      <c r="Z39" s="593"/>
      <c r="AA39" s="585"/>
      <c r="AB39" s="5"/>
      <c r="AC39" s="577"/>
      <c r="AD39" s="5"/>
      <c r="AE39" s="593"/>
      <c r="AF39" s="593"/>
      <c r="AG39" s="593"/>
      <c r="AH39" s="585"/>
      <c r="AI39" s="5"/>
      <c r="AJ39" s="577"/>
    </row>
    <row r="40" spans="1:54">
      <c r="A40" s="235" t="s">
        <v>267</v>
      </c>
      <c r="B40" s="235" t="s">
        <v>267</v>
      </c>
      <c r="C40" s="262">
        <f t="shared" si="17"/>
        <v>0.24822695035460993</v>
      </c>
      <c r="D40" s="283">
        <f t="shared" ref="D40:E41" si="33">D32/D8</f>
        <v>0.17964071856287425</v>
      </c>
      <c r="E40" s="283">
        <f t="shared" si="33"/>
        <v>0.19251336898395721</v>
      </c>
      <c r="F40" s="379">
        <f t="shared" ref="F40" si="34">F32/F8</f>
        <v>-2.463054187192144E-2</v>
      </c>
      <c r="G40" s="265"/>
      <c r="H40" s="294">
        <v>0.13753581661891107</v>
      </c>
      <c r="I40" s="265"/>
      <c r="J40" s="479">
        <f t="shared" ref="J40:M40" si="35">J32/J8</f>
        <v>0.14342629482071712</v>
      </c>
      <c r="K40" s="281">
        <f t="shared" si="35"/>
        <v>9.3333333333333324E-2</v>
      </c>
      <c r="L40" s="281">
        <f t="shared" si="35"/>
        <v>-1.6597510373444219E-2</v>
      </c>
      <c r="M40" s="379">
        <f t="shared" si="35"/>
        <v>-0.13541666666666641</v>
      </c>
      <c r="N40" s="249"/>
      <c r="O40" s="520">
        <f t="shared" ref="O40" si="36">O32/O8</f>
        <v>1.9444444444444459E-2</v>
      </c>
      <c r="P40" s="5"/>
      <c r="Q40" s="262">
        <f t="shared" ref="Q40:R40" si="37">Q32/Q8</f>
        <v>3.8461538461538533E-2</v>
      </c>
      <c r="R40" s="283">
        <f t="shared" si="37"/>
        <v>0.15770609318996417</v>
      </c>
      <c r="S40" s="283">
        <f t="shared" si="21"/>
        <v>0.15060240963855451</v>
      </c>
      <c r="T40" s="379">
        <f t="shared" si="26"/>
        <v>-4.1811846689895876E-2</v>
      </c>
      <c r="U40" s="5"/>
      <c r="V40" s="520">
        <f t="shared" si="26"/>
        <v>7.9447322970639028E-2</v>
      </c>
      <c r="W40" s="5"/>
      <c r="X40" s="592"/>
      <c r="Y40" s="592"/>
      <c r="Z40" s="592"/>
      <c r="AA40" s="584"/>
      <c r="AB40" s="5"/>
      <c r="AC40" s="577"/>
      <c r="AD40" s="5"/>
      <c r="AE40" s="592"/>
      <c r="AF40" s="592"/>
      <c r="AG40" s="592"/>
      <c r="AH40" s="584"/>
      <c r="AI40" s="5"/>
      <c r="AJ40" s="577"/>
    </row>
    <row r="41" spans="1:54" ht="15" thickBot="1">
      <c r="A41" s="235" t="s">
        <v>295</v>
      </c>
      <c r="B41" s="235" t="s">
        <v>296</v>
      </c>
      <c r="C41" s="264">
        <f t="shared" si="17"/>
        <v>-1.9743589743589745</v>
      </c>
      <c r="D41" s="285">
        <f t="shared" si="33"/>
        <v>1.7999999999999998</v>
      </c>
      <c r="E41" s="285">
        <f t="shared" si="33"/>
        <v>-0.20707596253902233</v>
      </c>
      <c r="F41" s="380">
        <f t="shared" ref="F41" si="38">F33/F9</f>
        <v>0.38493723849371903</v>
      </c>
      <c r="G41" s="265"/>
      <c r="H41" s="297">
        <v>-8.0218068535825512E-2</v>
      </c>
      <c r="I41" s="265"/>
      <c r="J41" s="480">
        <f>J33/J9</f>
        <v>-7.9254079254079401E-2</v>
      </c>
      <c r="K41" s="481">
        <f>K33/K9</f>
        <v>-0.2154471544715455</v>
      </c>
      <c r="L41" s="481">
        <f>L33/L9</f>
        <v>-3.2786885245901558E-2</v>
      </c>
      <c r="M41" s="380">
        <f>M33/M9</f>
        <v>0.69396551724138222</v>
      </c>
      <c r="N41" s="249"/>
      <c r="O41" s="523">
        <f t="shared" ref="O41" si="39">O33/O9</f>
        <v>0.10817805383022784</v>
      </c>
      <c r="P41" s="5"/>
      <c r="Q41" s="264">
        <f t="shared" ref="Q41:R41" si="40">Q33/Q9</f>
        <v>0.10152284263959425</v>
      </c>
      <c r="R41" s="285">
        <f t="shared" si="40"/>
        <v>-0.54558254135867845</v>
      </c>
      <c r="S41" s="285">
        <f t="shared" si="21"/>
        <v>0.13147410358565675</v>
      </c>
      <c r="T41" s="380">
        <f t="shared" si="26"/>
        <v>0.2243158366980697</v>
      </c>
      <c r="U41" s="5"/>
      <c r="V41" s="523">
        <f t="shared" si="26"/>
        <v>-2.777777777777778E-2</v>
      </c>
      <c r="W41" s="5"/>
      <c r="X41" s="594"/>
      <c r="Y41" s="594"/>
      <c r="Z41" s="594"/>
      <c r="AA41" s="586"/>
      <c r="AB41" s="5"/>
      <c r="AC41" s="578"/>
      <c r="AD41" s="5"/>
      <c r="AE41" s="594"/>
      <c r="AF41" s="594"/>
      <c r="AG41" s="594"/>
      <c r="AH41" s="586"/>
      <c r="AI41" s="5"/>
      <c r="AJ41" s="578"/>
    </row>
    <row r="42" spans="1:54" ht="15" thickBot="1">
      <c r="A42" s="237"/>
      <c r="B42" s="237"/>
      <c r="C42" s="547"/>
      <c r="D42" s="547"/>
      <c r="E42" s="547"/>
      <c r="F42" s="548"/>
      <c r="G42" s="548"/>
      <c r="H42" s="548"/>
      <c r="I42" s="548"/>
      <c r="J42" s="548"/>
      <c r="K42" s="549"/>
      <c r="L42" s="549"/>
      <c r="M42" s="548"/>
      <c r="N42" s="249"/>
      <c r="O42" s="550"/>
      <c r="P42" s="5"/>
      <c r="Q42" s="547"/>
      <c r="R42" s="547"/>
      <c r="S42" s="547"/>
      <c r="T42" s="548"/>
      <c r="U42" s="5"/>
      <c r="V42" s="550"/>
      <c r="W42" s="5"/>
      <c r="X42" s="547"/>
      <c r="Y42" s="547"/>
      <c r="Z42" s="547"/>
      <c r="AA42" s="547"/>
      <c r="AB42" s="5"/>
      <c r="AC42" s="550"/>
      <c r="AD42" s="5"/>
      <c r="AE42" s="5"/>
      <c r="AF42" s="5"/>
      <c r="AG42" s="547"/>
      <c r="AH42" s="547"/>
      <c r="AI42" s="5"/>
      <c r="AJ42" s="550"/>
    </row>
    <row r="43" spans="1:54">
      <c r="A43" s="247" t="s">
        <v>340</v>
      </c>
      <c r="B43" s="248" t="s">
        <v>269</v>
      </c>
      <c r="C43" s="547"/>
      <c r="D43" s="547"/>
      <c r="E43" s="547"/>
      <c r="F43" s="548"/>
      <c r="G43" s="548"/>
      <c r="H43" s="548"/>
      <c r="I43" s="548"/>
      <c r="J43" s="548"/>
      <c r="K43" s="549"/>
      <c r="L43" s="549"/>
      <c r="M43" s="548"/>
      <c r="N43" s="249"/>
      <c r="O43" s="550"/>
      <c r="P43" s="5"/>
      <c r="Q43" s="381">
        <v>-56.500000000000114</v>
      </c>
      <c r="R43" s="382">
        <v>31.3</v>
      </c>
      <c r="S43" s="382">
        <f>SUM(S44:S48)</f>
        <v>24</v>
      </c>
      <c r="T43" s="596">
        <f>SUM(T44:T48)</f>
        <v>-50.099999999999994</v>
      </c>
      <c r="U43" s="243"/>
      <c r="V43" s="522">
        <f>SUM(Q43:T43)</f>
        <v>-51.300000000000111</v>
      </c>
      <c r="W43" s="243"/>
      <c r="X43" s="381">
        <v>-67.000000000000227</v>
      </c>
      <c r="Y43" s="382">
        <v>79.3</v>
      </c>
      <c r="Z43" s="382">
        <v>76.199999999999363</v>
      </c>
      <c r="AA43" s="267">
        <f>AC43-SUM(X43:Z43)</f>
        <v>95.400000000000503</v>
      </c>
      <c r="AB43" s="243"/>
      <c r="AC43" s="522">
        <v>183.89999999999964</v>
      </c>
      <c r="AD43" s="5"/>
      <c r="AE43" s="381">
        <v>150.6</v>
      </c>
      <c r="AF43" s="382">
        <v>262.5</v>
      </c>
      <c r="AG43" s="382">
        <v>328</v>
      </c>
      <c r="AH43" s="267"/>
      <c r="AI43" s="243"/>
      <c r="AJ43" s="522"/>
    </row>
    <row r="44" spans="1:54">
      <c r="A44" s="235" t="s">
        <v>289</v>
      </c>
      <c r="B44" s="235" t="s">
        <v>289</v>
      </c>
      <c r="C44" s="547"/>
      <c r="D44" s="547"/>
      <c r="E44" s="547"/>
      <c r="F44" s="548"/>
      <c r="G44" s="548"/>
      <c r="H44" s="548"/>
      <c r="I44" s="548"/>
      <c r="J44" s="548"/>
      <c r="K44" s="549"/>
      <c r="L44" s="549"/>
      <c r="M44" s="548"/>
      <c r="N44" s="249"/>
      <c r="O44" s="550"/>
      <c r="P44" s="5"/>
      <c r="Q44" s="286">
        <v>-84.399999999999977</v>
      </c>
      <c r="R44" s="287">
        <v>9.5</v>
      </c>
      <c r="S44" s="571">
        <v>11.4</v>
      </c>
      <c r="T44" s="597">
        <v>-22.1</v>
      </c>
      <c r="U44" s="5"/>
      <c r="V44" s="516">
        <f>SUM(Q44:T44)</f>
        <v>-85.59999999999998</v>
      </c>
      <c r="W44" s="5"/>
      <c r="X44" s="286">
        <v>-41.799999999999955</v>
      </c>
      <c r="Y44" s="287">
        <v>115.2</v>
      </c>
      <c r="Z44" s="504">
        <v>107.09999999999991</v>
      </c>
      <c r="AA44" s="271">
        <f t="shared" ref="AA44:AA49" si="41">AC44-SUM(X44:Z44)</f>
        <v>135.09999999999974</v>
      </c>
      <c r="AB44" s="5"/>
      <c r="AC44" s="516">
        <v>315.59999999999968</v>
      </c>
      <c r="AD44" s="5"/>
      <c r="AE44" s="286">
        <v>108.49890056239499</v>
      </c>
      <c r="AF44" s="287">
        <v>207</v>
      </c>
      <c r="AG44" s="504">
        <v>183.50000000000023</v>
      </c>
      <c r="AH44" s="271"/>
      <c r="AI44" s="5"/>
      <c r="AJ44" s="516"/>
    </row>
    <row r="45" spans="1:54">
      <c r="A45" s="235" t="s">
        <v>290</v>
      </c>
      <c r="B45" s="235" t="s">
        <v>290</v>
      </c>
      <c r="C45" s="547"/>
      <c r="D45" s="547"/>
      <c r="E45" s="547"/>
      <c r="F45" s="548"/>
      <c r="G45" s="548"/>
      <c r="H45" s="548"/>
      <c r="I45" s="548"/>
      <c r="J45" s="548"/>
      <c r="K45" s="549"/>
      <c r="L45" s="549"/>
      <c r="M45" s="548"/>
      <c r="N45" s="249"/>
      <c r="O45" s="550"/>
      <c r="P45" s="5"/>
      <c r="Q45" s="288">
        <v>47.100000000000023</v>
      </c>
      <c r="R45" s="289">
        <v>31.1</v>
      </c>
      <c r="S45" s="289">
        <v>-16.100000000000001</v>
      </c>
      <c r="T45" s="597">
        <v>-43.6</v>
      </c>
      <c r="U45" s="5"/>
      <c r="V45" s="516">
        <f t="shared" ref="V45:V49" si="42">SUM(Q45:T45)</f>
        <v>18.500000000000014</v>
      </c>
      <c r="W45" s="5"/>
      <c r="X45" s="288">
        <v>-4.5999999999999659</v>
      </c>
      <c r="Y45" s="289">
        <v>-12.7</v>
      </c>
      <c r="Z45" s="289">
        <v>-50.799999999999955</v>
      </c>
      <c r="AA45" s="270">
        <f t="shared" si="41"/>
        <v>-57.400000000000077</v>
      </c>
      <c r="AB45" s="5"/>
      <c r="AC45" s="516">
        <v>-125.5</v>
      </c>
      <c r="AD45" s="5"/>
      <c r="AE45" s="288">
        <v>12.0113575910318</v>
      </c>
      <c r="AF45" s="289">
        <v>-2.50000000000006</v>
      </c>
      <c r="AG45" s="289">
        <v>61.999999999999943</v>
      </c>
      <c r="AH45" s="270"/>
      <c r="AI45" s="5"/>
      <c r="AJ45" s="516"/>
    </row>
    <row r="46" spans="1:54">
      <c r="A46" s="235" t="s">
        <v>291</v>
      </c>
      <c r="B46" s="235" t="s">
        <v>291</v>
      </c>
      <c r="C46" s="547"/>
      <c r="D46" s="547"/>
      <c r="E46" s="547"/>
      <c r="F46" s="548"/>
      <c r="G46" s="548"/>
      <c r="H46" s="548"/>
      <c r="I46" s="548"/>
      <c r="J46" s="548"/>
      <c r="K46" s="549"/>
      <c r="L46" s="549"/>
      <c r="M46" s="548"/>
      <c r="N46" s="249"/>
      <c r="O46" s="550"/>
      <c r="P46" s="5"/>
      <c r="Q46" s="288">
        <v>-1.6999999999999886</v>
      </c>
      <c r="R46" s="289">
        <v>-4</v>
      </c>
      <c r="S46" s="289">
        <v>6</v>
      </c>
      <c r="T46" s="597">
        <v>9.1999999999999993</v>
      </c>
      <c r="U46" s="5"/>
      <c r="V46" s="516">
        <f t="shared" si="42"/>
        <v>9.5000000000000107</v>
      </c>
      <c r="W46" s="5"/>
      <c r="X46" s="288">
        <v>-4.3999999999999915</v>
      </c>
      <c r="Y46" s="289">
        <v>-5.9</v>
      </c>
      <c r="Z46" s="289">
        <v>-7.1000000000000512</v>
      </c>
      <c r="AA46" s="270">
        <f t="shared" si="41"/>
        <v>-27.39999999999997</v>
      </c>
      <c r="AB46" s="5"/>
      <c r="AC46" s="516">
        <v>-44.800000000000011</v>
      </c>
      <c r="AD46" s="5"/>
      <c r="AE46" s="288">
        <v>-3.1227465987759202</v>
      </c>
      <c r="AF46" s="289">
        <v>6.1000000000000103</v>
      </c>
      <c r="AG46" s="289">
        <v>17.399999999999949</v>
      </c>
      <c r="AH46" s="270"/>
      <c r="AI46" s="5"/>
      <c r="AJ46" s="516"/>
    </row>
    <row r="47" spans="1:54">
      <c r="A47" s="235" t="s">
        <v>307</v>
      </c>
      <c r="B47" s="235" t="s">
        <v>307</v>
      </c>
      <c r="C47" s="547"/>
      <c r="D47" s="547"/>
      <c r="E47" s="547"/>
      <c r="F47" s="548"/>
      <c r="G47" s="548"/>
      <c r="H47" s="548"/>
      <c r="I47" s="548"/>
      <c r="J47" s="548"/>
      <c r="K47" s="549"/>
      <c r="L47" s="549"/>
      <c r="M47" s="548"/>
      <c r="N47" s="249"/>
      <c r="O47" s="550"/>
      <c r="P47" s="5"/>
      <c r="Q47" s="288">
        <v>-17.519999999999989</v>
      </c>
      <c r="R47" s="289">
        <v>-8.5</v>
      </c>
      <c r="S47" s="289">
        <v>19.3</v>
      </c>
      <c r="T47" s="597">
        <v>7.7</v>
      </c>
      <c r="U47" s="5"/>
      <c r="V47" s="516">
        <f t="shared" si="42"/>
        <v>0.98000000000001197</v>
      </c>
      <c r="W47" s="5"/>
      <c r="X47" s="288">
        <v>-17.400000000000006</v>
      </c>
      <c r="Y47" s="289">
        <v>-17.8</v>
      </c>
      <c r="Z47" s="289">
        <v>25.099999999999994</v>
      </c>
      <c r="AA47" s="270">
        <f t="shared" si="41"/>
        <v>42.700000000000031</v>
      </c>
      <c r="AB47" s="5"/>
      <c r="AC47" s="516">
        <v>32.600000000000023</v>
      </c>
      <c r="AD47" s="5"/>
      <c r="AE47" s="288">
        <v>33.445469295140597</v>
      </c>
      <c r="AF47" s="289">
        <v>51.5</v>
      </c>
      <c r="AG47" s="289">
        <v>63.900000000000034</v>
      </c>
      <c r="AH47" s="270"/>
      <c r="AI47" s="5"/>
      <c r="AJ47" s="516"/>
    </row>
    <row r="48" spans="1:54">
      <c r="A48" s="235" t="s">
        <v>267</v>
      </c>
      <c r="B48" s="235" t="s">
        <v>267</v>
      </c>
      <c r="C48" s="547"/>
      <c r="D48" s="547"/>
      <c r="E48" s="547"/>
      <c r="F48" s="548"/>
      <c r="G48" s="548"/>
      <c r="H48" s="548"/>
      <c r="I48" s="548"/>
      <c r="J48" s="548"/>
      <c r="K48" s="549"/>
      <c r="L48" s="549"/>
      <c r="M48" s="548"/>
      <c r="N48" s="249"/>
      <c r="O48" s="550"/>
      <c r="P48" s="5"/>
      <c r="Q48" s="286">
        <v>0</v>
      </c>
      <c r="R48" s="287">
        <v>3.2</v>
      </c>
      <c r="S48" s="571">
        <v>3.4</v>
      </c>
      <c r="T48" s="597">
        <v>-1.3</v>
      </c>
      <c r="U48" s="5"/>
      <c r="V48" s="516">
        <f t="shared" si="42"/>
        <v>5.3</v>
      </c>
      <c r="W48" s="5"/>
      <c r="X48" s="286">
        <v>1.1999999999999975</v>
      </c>
      <c r="Y48" s="287">
        <v>0.5</v>
      </c>
      <c r="Z48" s="504">
        <v>1.9000000000000057</v>
      </c>
      <c r="AA48" s="271">
        <f t="shared" si="41"/>
        <v>2.3999999999999968</v>
      </c>
      <c r="AB48" s="5"/>
      <c r="AC48" s="516">
        <v>6</v>
      </c>
      <c r="AD48" s="5"/>
      <c r="AE48" s="286">
        <v>-0.23054251782771801</v>
      </c>
      <c r="AF48" s="287">
        <v>0.40000000000000402</v>
      </c>
      <c r="AG48" s="504">
        <v>1.2000000000000028</v>
      </c>
      <c r="AH48" s="271"/>
      <c r="AI48" s="5"/>
      <c r="AJ48" s="516"/>
    </row>
    <row r="49" spans="1:54" ht="15" thickBot="1">
      <c r="A49" s="235" t="s">
        <v>295</v>
      </c>
      <c r="B49" s="235" t="s">
        <v>296</v>
      </c>
      <c r="C49" s="547"/>
      <c r="D49" s="547"/>
      <c r="E49" s="547"/>
      <c r="F49" s="548"/>
      <c r="G49" s="548"/>
      <c r="H49" s="548"/>
      <c r="I49" s="548"/>
      <c r="J49" s="548"/>
      <c r="K49" s="549"/>
      <c r="L49" s="549"/>
      <c r="M49" s="548"/>
      <c r="N49" s="249"/>
      <c r="O49" s="550"/>
      <c r="P49" s="5"/>
      <c r="Q49" s="561"/>
      <c r="R49" s="551"/>
      <c r="S49" s="551"/>
      <c r="T49" s="598"/>
      <c r="U49" s="5"/>
      <c r="V49" s="552">
        <f t="shared" si="42"/>
        <v>0</v>
      </c>
      <c r="W49" s="5"/>
      <c r="X49" s="561">
        <v>0</v>
      </c>
      <c r="Y49" s="551">
        <v>0</v>
      </c>
      <c r="Z49" s="551">
        <v>0</v>
      </c>
      <c r="AA49" s="302">
        <f t="shared" si="41"/>
        <v>0</v>
      </c>
      <c r="AB49" s="5"/>
      <c r="AC49" s="552">
        <v>0</v>
      </c>
      <c r="AD49" s="5"/>
      <c r="AE49" s="561"/>
      <c r="AF49" s="551"/>
      <c r="AG49" s="551"/>
      <c r="AH49" s="302"/>
      <c r="AI49" s="5"/>
      <c r="AJ49" s="552"/>
    </row>
    <row r="50" spans="1:54" ht="15" thickBot="1">
      <c r="A50" s="237"/>
      <c r="B50" s="237"/>
      <c r="C50" s="254"/>
      <c r="D50" s="254"/>
      <c r="E50" s="254"/>
      <c r="F50" s="254"/>
      <c r="G50" s="254"/>
      <c r="H50" s="254"/>
      <c r="I50" s="254"/>
      <c r="J50" s="254"/>
      <c r="K50" s="254"/>
      <c r="L50" s="254"/>
      <c r="M50" s="254"/>
      <c r="N50" s="249"/>
      <c r="O50" s="249"/>
      <c r="P50" s="249"/>
      <c r="Q50" s="254"/>
      <c r="R50" s="254"/>
      <c r="S50" s="254"/>
      <c r="T50" s="254"/>
      <c r="U50" s="5"/>
      <c r="V50" s="599"/>
      <c r="W50" s="5"/>
      <c r="X50" s="254"/>
      <c r="Y50" s="254"/>
      <c r="Z50" s="254"/>
      <c r="AA50" s="254"/>
      <c r="AB50" s="5"/>
      <c r="AC50" s="249"/>
      <c r="AD50" s="5"/>
      <c r="AE50" s="254"/>
      <c r="AF50" s="5"/>
      <c r="AG50" s="254"/>
      <c r="AH50" s="254"/>
      <c r="AI50" s="5"/>
      <c r="AJ50" s="249"/>
    </row>
    <row r="51" spans="1:54">
      <c r="A51" s="247" t="s">
        <v>341</v>
      </c>
      <c r="B51" s="248" t="s">
        <v>269</v>
      </c>
      <c r="C51" s="547"/>
      <c r="D51" s="547"/>
      <c r="E51" s="547"/>
      <c r="F51" s="548"/>
      <c r="G51" s="548"/>
      <c r="H51" s="548"/>
      <c r="I51" s="548"/>
      <c r="J51" s="548"/>
      <c r="K51" s="549"/>
      <c r="L51" s="549"/>
      <c r="M51" s="548"/>
      <c r="N51" s="249"/>
      <c r="O51" s="550"/>
      <c r="P51" s="5"/>
      <c r="Q51" s="381">
        <v>89.299999999999898</v>
      </c>
      <c r="R51" s="382">
        <v>179</v>
      </c>
      <c r="S51" s="382">
        <f>SUM(S52:S56)</f>
        <v>172.89999999999998</v>
      </c>
      <c r="T51" s="596">
        <f>SUM(T52:T56)</f>
        <v>94.000000000000014</v>
      </c>
      <c r="U51" s="243"/>
      <c r="V51" s="522">
        <f>SUM(Q51:T51)</f>
        <v>535.19999999999993</v>
      </c>
      <c r="W51" s="243"/>
      <c r="X51" s="381">
        <v>88.599999999999767</v>
      </c>
      <c r="Y51" s="564">
        <v>223.7</v>
      </c>
      <c r="Z51" s="382">
        <v>229.49999999999937</v>
      </c>
      <c r="AA51" s="267">
        <f>AC51-SUM(X51:Z51)</f>
        <v>236.60000000000059</v>
      </c>
      <c r="AB51" s="243"/>
      <c r="AC51" s="522">
        <v>778.39999999999964</v>
      </c>
      <c r="AD51" s="5"/>
      <c r="AE51" s="381">
        <v>300.5</v>
      </c>
      <c r="AF51" s="564">
        <v>406.9</v>
      </c>
      <c r="AG51" s="382">
        <v>479</v>
      </c>
      <c r="AH51" s="267"/>
      <c r="AI51" s="243"/>
      <c r="AJ51" s="522"/>
    </row>
    <row r="52" spans="1:54">
      <c r="A52" s="235" t="s">
        <v>289</v>
      </c>
      <c r="B52" s="235" t="s">
        <v>289</v>
      </c>
      <c r="C52" s="547"/>
      <c r="D52" s="547"/>
      <c r="E52" s="547"/>
      <c r="F52" s="548"/>
      <c r="G52" s="548"/>
      <c r="H52" s="548"/>
      <c r="I52" s="548"/>
      <c r="J52" s="548"/>
      <c r="K52" s="549"/>
      <c r="L52" s="549"/>
      <c r="M52" s="548"/>
      <c r="N52" s="249"/>
      <c r="O52" s="550"/>
      <c r="P52" s="5"/>
      <c r="Q52" s="286">
        <v>26.500000000000028</v>
      </c>
      <c r="R52" s="287">
        <v>118.9</v>
      </c>
      <c r="S52" s="571">
        <v>119.2</v>
      </c>
      <c r="T52" s="597">
        <v>74.900000000000006</v>
      </c>
      <c r="U52" s="5"/>
      <c r="V52" s="516">
        <f>SUM(Q52:T52)</f>
        <v>339.5</v>
      </c>
      <c r="W52" s="5"/>
      <c r="X52" s="286">
        <v>66.30000000000004</v>
      </c>
      <c r="Y52" s="565">
        <v>214.1</v>
      </c>
      <c r="Z52" s="504">
        <v>201.59999999999991</v>
      </c>
      <c r="AA52" s="271">
        <f t="shared" ref="AA52:AA57" si="43">AC52-SUM(X52:Z52)</f>
        <v>209.99999999999972</v>
      </c>
      <c r="AB52" s="5"/>
      <c r="AC52" s="516">
        <v>691.99999999999966</v>
      </c>
      <c r="AD52" s="5"/>
      <c r="AE52" s="286">
        <v>196.026940526381</v>
      </c>
      <c r="AF52" s="565">
        <v>291.7</v>
      </c>
      <c r="AG52" s="504">
        <v>276.40000000000026</v>
      </c>
      <c r="AH52" s="271"/>
      <c r="AI52" s="5"/>
      <c r="AJ52" s="516"/>
    </row>
    <row r="53" spans="1:54">
      <c r="A53" s="235" t="s">
        <v>290</v>
      </c>
      <c r="B53" s="235" t="s">
        <v>290</v>
      </c>
      <c r="C53" s="547"/>
      <c r="D53" s="547"/>
      <c r="E53" s="547"/>
      <c r="F53" s="548"/>
      <c r="G53" s="548"/>
      <c r="H53" s="548"/>
      <c r="I53" s="548"/>
      <c r="J53" s="548"/>
      <c r="K53" s="549"/>
      <c r="L53" s="549"/>
      <c r="M53" s="548"/>
      <c r="N53" s="249"/>
      <c r="O53" s="550"/>
      <c r="P53" s="5"/>
      <c r="Q53" s="288">
        <v>62.500000000000021</v>
      </c>
      <c r="R53" s="289">
        <v>47.4</v>
      </c>
      <c r="S53" s="289">
        <v>1.2</v>
      </c>
      <c r="T53" s="597">
        <v>-24.3</v>
      </c>
      <c r="U53" s="5"/>
      <c r="V53" s="516">
        <f t="shared" ref="V53:V57" si="44">SUM(Q53:T53)</f>
        <v>86.800000000000026</v>
      </c>
      <c r="W53" s="5"/>
      <c r="X53" s="288">
        <v>12.500000000000036</v>
      </c>
      <c r="Y53" s="289">
        <v>7</v>
      </c>
      <c r="Z53" s="289">
        <v>-27.899999999999949</v>
      </c>
      <c r="AA53" s="270">
        <f t="shared" si="43"/>
        <v>-35.900000000000084</v>
      </c>
      <c r="AB53" s="5"/>
      <c r="AC53" s="516">
        <v>-44.3</v>
      </c>
      <c r="AD53" s="5"/>
      <c r="AE53" s="288">
        <v>33.404430119965099</v>
      </c>
      <c r="AF53" s="289">
        <v>20.1999999999999</v>
      </c>
      <c r="AG53" s="289">
        <v>78.199999999999932</v>
      </c>
      <c r="AH53" s="270"/>
      <c r="AI53" s="5"/>
      <c r="AJ53" s="516"/>
    </row>
    <row r="54" spans="1:54">
      <c r="A54" s="235" t="s">
        <v>291</v>
      </c>
      <c r="B54" s="235" t="s">
        <v>291</v>
      </c>
      <c r="C54" s="547"/>
      <c r="D54" s="547"/>
      <c r="E54" s="547"/>
      <c r="F54" s="548"/>
      <c r="G54" s="548"/>
      <c r="H54" s="548"/>
      <c r="I54" s="548"/>
      <c r="J54" s="548"/>
      <c r="K54" s="549"/>
      <c r="L54" s="549"/>
      <c r="M54" s="548"/>
      <c r="N54" s="249"/>
      <c r="O54" s="550"/>
      <c r="P54" s="5"/>
      <c r="Q54" s="288">
        <v>-9.9999999999988542E-2</v>
      </c>
      <c r="R54" s="289">
        <v>-2.7</v>
      </c>
      <c r="S54" s="289">
        <v>8.1</v>
      </c>
      <c r="T54" s="597">
        <v>12</v>
      </c>
      <c r="U54" s="5"/>
      <c r="V54" s="516">
        <f t="shared" si="44"/>
        <v>17.300000000000011</v>
      </c>
      <c r="W54" s="5"/>
      <c r="X54" s="288">
        <v>0.50000000000000888</v>
      </c>
      <c r="Y54" s="289">
        <v>-2.4</v>
      </c>
      <c r="Z54" s="289">
        <v>-2.4000000000000519</v>
      </c>
      <c r="AA54" s="270">
        <f t="shared" si="43"/>
        <v>-22.299999999999969</v>
      </c>
      <c r="AB54" s="5"/>
      <c r="AC54" s="516">
        <v>-26.600000000000012</v>
      </c>
      <c r="AD54" s="5"/>
      <c r="AE54" s="288">
        <v>2.0211630818617201</v>
      </c>
      <c r="AF54" s="289">
        <v>11.4</v>
      </c>
      <c r="AG54" s="289">
        <v>22.99999999999995</v>
      </c>
      <c r="AH54" s="270"/>
      <c r="AI54" s="5"/>
      <c r="AJ54" s="516"/>
    </row>
    <row r="55" spans="1:54">
      <c r="A55" s="235" t="s">
        <v>307</v>
      </c>
      <c r="B55" s="235" t="s">
        <v>307</v>
      </c>
      <c r="C55" s="547"/>
      <c r="D55" s="547"/>
      <c r="E55" s="547"/>
      <c r="F55" s="548"/>
      <c r="G55" s="548"/>
      <c r="H55" s="548"/>
      <c r="I55" s="548"/>
      <c r="J55" s="548"/>
      <c r="K55" s="549"/>
      <c r="L55" s="549"/>
      <c r="M55" s="548"/>
      <c r="N55" s="249"/>
      <c r="O55" s="550"/>
      <c r="P55" s="5"/>
      <c r="Q55" s="288">
        <v>8.0000000000012506E-2</v>
      </c>
      <c r="R55" s="289">
        <v>11.8</v>
      </c>
      <c r="S55" s="289">
        <v>40.700000000000003</v>
      </c>
      <c r="T55" s="597">
        <v>32.6</v>
      </c>
      <c r="U55" s="5"/>
      <c r="V55" s="516">
        <f t="shared" si="44"/>
        <v>85.18</v>
      </c>
      <c r="W55" s="5"/>
      <c r="X55" s="288">
        <v>7.899999999999995</v>
      </c>
      <c r="Y55" s="289">
        <v>4.3</v>
      </c>
      <c r="Z55" s="289">
        <v>56.199999999999996</v>
      </c>
      <c r="AA55" s="270">
        <f t="shared" si="43"/>
        <v>82.200000000000031</v>
      </c>
      <c r="AB55" s="5"/>
      <c r="AC55" s="516">
        <v>150.60000000000002</v>
      </c>
      <c r="AD55" s="5"/>
      <c r="AE55" s="288">
        <v>69.092718960337706</v>
      </c>
      <c r="AF55" s="289">
        <v>83</v>
      </c>
      <c r="AG55" s="289">
        <v>100.10000000000004</v>
      </c>
      <c r="AH55" s="270"/>
      <c r="AI55" s="5"/>
      <c r="AJ55" s="516"/>
    </row>
    <row r="56" spans="1:54">
      <c r="A56" s="235" t="s">
        <v>267</v>
      </c>
      <c r="B56" s="235" t="s">
        <v>267</v>
      </c>
      <c r="C56" s="547"/>
      <c r="D56" s="547"/>
      <c r="E56" s="547"/>
      <c r="F56" s="548"/>
      <c r="G56" s="548"/>
      <c r="H56" s="548"/>
      <c r="I56" s="548"/>
      <c r="J56" s="548"/>
      <c r="K56" s="549"/>
      <c r="L56" s="549"/>
      <c r="M56" s="548"/>
      <c r="N56" s="249"/>
      <c r="O56" s="550"/>
      <c r="P56" s="5"/>
      <c r="Q56" s="286">
        <v>0.3</v>
      </c>
      <c r="R56" s="287">
        <v>3.6</v>
      </c>
      <c r="S56" s="571">
        <v>3.7</v>
      </c>
      <c r="T56" s="597">
        <v>-1.2</v>
      </c>
      <c r="U56" s="5"/>
      <c r="V56" s="516">
        <f t="shared" si="44"/>
        <v>6.3999999999999995</v>
      </c>
      <c r="W56" s="5"/>
      <c r="X56" s="286">
        <v>1.3999999999999975</v>
      </c>
      <c r="Y56" s="289">
        <v>0.7</v>
      </c>
      <c r="Z56" s="504">
        <v>2.0000000000000058</v>
      </c>
      <c r="AA56" s="271">
        <f t="shared" si="43"/>
        <v>2.599999999999997</v>
      </c>
      <c r="AB56" s="5"/>
      <c r="AC56" s="516">
        <v>6.7</v>
      </c>
      <c r="AD56" s="5"/>
      <c r="AE56" s="286">
        <v>-4.5469957660288197E-2</v>
      </c>
      <c r="AF56" s="289">
        <v>0.60000000000000397</v>
      </c>
      <c r="AG56" s="504">
        <v>1.3000000000000029</v>
      </c>
      <c r="AH56" s="271"/>
      <c r="AI56" s="5"/>
      <c r="AJ56" s="516"/>
    </row>
    <row r="57" spans="1:54" ht="15" thickBot="1">
      <c r="A57" s="235" t="s">
        <v>295</v>
      </c>
      <c r="B57" s="235" t="s">
        <v>296</v>
      </c>
      <c r="C57" s="547"/>
      <c r="D57" s="547"/>
      <c r="E57" s="547"/>
      <c r="F57" s="548"/>
      <c r="G57" s="548"/>
      <c r="H57" s="548"/>
      <c r="I57" s="548"/>
      <c r="J57" s="548"/>
      <c r="K57" s="549"/>
      <c r="L57" s="549"/>
      <c r="M57" s="548"/>
      <c r="N57" s="249"/>
      <c r="O57" s="550"/>
      <c r="P57" s="5"/>
      <c r="Q57" s="561"/>
      <c r="R57" s="551"/>
      <c r="S57" s="551"/>
      <c r="T57" s="598"/>
      <c r="U57" s="5"/>
      <c r="V57" s="552">
        <f t="shared" si="44"/>
        <v>0</v>
      </c>
      <c r="W57" s="5"/>
      <c r="X57" s="561">
        <v>0</v>
      </c>
      <c r="Y57" s="566">
        <v>0</v>
      </c>
      <c r="Z57" s="551">
        <v>0</v>
      </c>
      <c r="AA57" s="302">
        <f t="shared" si="43"/>
        <v>0</v>
      </c>
      <c r="AB57" s="5"/>
      <c r="AC57" s="552">
        <v>0</v>
      </c>
      <c r="AD57" s="5"/>
      <c r="AE57" s="561"/>
      <c r="AF57" s="566"/>
      <c r="AG57" s="551"/>
      <c r="AH57" s="302"/>
      <c r="AI57" s="5"/>
      <c r="AJ57" s="552"/>
    </row>
    <row r="58" spans="1:54">
      <c r="A58" s="556"/>
      <c r="B58" s="237"/>
      <c r="C58" s="547"/>
      <c r="D58" s="547"/>
      <c r="E58" s="547"/>
      <c r="F58" s="548"/>
      <c r="G58" s="548"/>
      <c r="H58" s="548"/>
      <c r="I58" s="548"/>
      <c r="J58" s="548"/>
      <c r="K58" s="549"/>
      <c r="L58" s="549"/>
      <c r="M58" s="548"/>
      <c r="N58" s="249"/>
      <c r="O58" s="550"/>
      <c r="P58" s="5"/>
      <c r="Q58" s="553"/>
      <c r="R58" s="553"/>
      <c r="S58" s="553"/>
      <c r="T58" s="554"/>
      <c r="U58" s="5"/>
      <c r="V58" s="254"/>
      <c r="W58" s="5"/>
      <c r="X58" s="553"/>
      <c r="Y58" s="553"/>
      <c r="Z58" s="553"/>
      <c r="AA58" s="547"/>
      <c r="AB58" s="5"/>
      <c r="AC58" s="254"/>
      <c r="AD58" s="5"/>
      <c r="AE58" s="553"/>
      <c r="AF58" s="5"/>
      <c r="AG58" s="553"/>
      <c r="AH58" s="547"/>
      <c r="AI58" s="5"/>
      <c r="AJ58" s="254"/>
    </row>
    <row r="59" spans="1:54" ht="15" thickBot="1">
      <c r="A59" s="235"/>
      <c r="B59" s="237"/>
      <c r="C59" s="547"/>
      <c r="D59" s="547"/>
      <c r="E59" s="547"/>
      <c r="F59" s="548"/>
      <c r="G59" s="548"/>
      <c r="H59" s="548"/>
      <c r="I59" s="548"/>
      <c r="J59" s="548"/>
      <c r="K59" s="549"/>
      <c r="L59" s="549"/>
      <c r="M59" s="548"/>
      <c r="N59" s="249"/>
      <c r="O59" s="550"/>
      <c r="P59" s="5"/>
      <c r="Q59" s="553"/>
      <c r="R59" s="553"/>
      <c r="S59" s="553"/>
      <c r="T59" s="554"/>
      <c r="U59" s="5"/>
      <c r="V59" s="254"/>
      <c r="W59" s="5"/>
      <c r="X59" s="553"/>
      <c r="Y59" s="553"/>
      <c r="Z59" s="553"/>
      <c r="AA59" s="547"/>
      <c r="AB59" s="5"/>
      <c r="AC59" s="254"/>
      <c r="AD59" s="5"/>
      <c r="AE59" s="553"/>
      <c r="AF59" s="5"/>
      <c r="AG59" s="553"/>
      <c r="AH59" s="547"/>
      <c r="AI59" s="5"/>
      <c r="AJ59" s="254"/>
    </row>
    <row r="60" spans="1:54" s="244" customFormat="1" ht="23.25" customHeight="1" thickTop="1">
      <c r="A60" s="555" t="s">
        <v>268</v>
      </c>
      <c r="B60" s="248" t="s">
        <v>270</v>
      </c>
      <c r="C60" s="266">
        <v>-123.5</v>
      </c>
      <c r="D60" s="267">
        <v>-137</v>
      </c>
      <c r="E60" s="267">
        <v>-130.6</v>
      </c>
      <c r="F60" s="268">
        <f>H60-E60-D60-C60</f>
        <v>-136.59999999999991</v>
      </c>
      <c r="G60" s="269"/>
      <c r="H60" s="293">
        <v>-527.69999999999993</v>
      </c>
      <c r="I60" s="269"/>
      <c r="J60" s="375">
        <f>SUM(J61:J66)</f>
        <v>-138.59487235098464</v>
      </c>
      <c r="K60" s="376">
        <f>SUM(K61:K66)</f>
        <v>-115.58007963786339</v>
      </c>
      <c r="L60" s="376">
        <f>SUM(L61:L66)</f>
        <v>-130.90000000000003</v>
      </c>
      <c r="M60" s="524">
        <f>O60-L60-K60-J60</f>
        <v>-176.2250480111519</v>
      </c>
      <c r="N60" s="269"/>
      <c r="O60" s="514">
        <v>-561.29999999999995</v>
      </c>
      <c r="P60" s="299"/>
      <c r="Q60" s="375">
        <f>SUM(Q61:Q66)</f>
        <v>-145.80000000000001</v>
      </c>
      <c r="R60" s="376">
        <v>-131.9</v>
      </c>
      <c r="S60" s="376">
        <v>-136.40000000000003</v>
      </c>
      <c r="T60" s="524">
        <f t="shared" ref="T60:T66" si="45">V60-SUM(Q60:S60)</f>
        <v>-168.09999999999997</v>
      </c>
      <c r="U60" s="243"/>
      <c r="V60" s="514">
        <v>-582.20000000000005</v>
      </c>
      <c r="W60" s="243"/>
      <c r="X60" s="375">
        <v>-155.6</v>
      </c>
      <c r="Y60" s="376">
        <v>-144.4</v>
      </c>
      <c r="Z60" s="376">
        <v>-153.30000000000001</v>
      </c>
      <c r="AA60" s="267">
        <f>AC60-SUM(X60:Z60)</f>
        <v>-141.19999999999999</v>
      </c>
      <c r="AB60" s="243"/>
      <c r="AC60" s="514">
        <v>-594.5</v>
      </c>
      <c r="AD60" s="243"/>
      <c r="AE60" s="375">
        <v>-149.9</v>
      </c>
      <c r="AF60" s="376">
        <v>-144.4</v>
      </c>
      <c r="AG60" s="376">
        <v>479</v>
      </c>
      <c r="AH60" s="267"/>
      <c r="AI60" s="243"/>
      <c r="AJ60" s="514"/>
      <c r="AK60" s="243"/>
      <c r="AL60" s="243"/>
      <c r="AM60" s="243"/>
      <c r="AN60" s="243"/>
      <c r="AO60" s="243"/>
      <c r="AP60" s="243"/>
      <c r="AQ60" s="243"/>
      <c r="AR60" s="243"/>
      <c r="AS60" s="243"/>
      <c r="AT60" s="243"/>
      <c r="AU60" s="243"/>
      <c r="AV60" s="243"/>
      <c r="AW60" s="243"/>
      <c r="AX60" s="243"/>
      <c r="AY60" s="243"/>
      <c r="AZ60" s="243"/>
      <c r="BA60" s="243"/>
      <c r="BB60" s="243"/>
    </row>
    <row r="61" spans="1:54">
      <c r="A61" s="235" t="s">
        <v>289</v>
      </c>
      <c r="B61" s="235" t="s">
        <v>289</v>
      </c>
      <c r="C61" s="272">
        <v>-124.6</v>
      </c>
      <c r="D61" s="271">
        <v>-120.6</v>
      </c>
      <c r="E61" s="271">
        <v>-114.50000000000001</v>
      </c>
      <c r="F61" s="274">
        <f>H61-E61-D61-C61</f>
        <v>-117.10000000000002</v>
      </c>
      <c r="G61" s="275"/>
      <c r="H61" s="253">
        <v>-476.8</v>
      </c>
      <c r="I61" s="275"/>
      <c r="J61" s="371">
        <v>-126.29487235098466</v>
      </c>
      <c r="K61" s="372">
        <v>-91.180079637863386</v>
      </c>
      <c r="L61" s="372">
        <v>-111.70000000000002</v>
      </c>
      <c r="M61" s="525">
        <f>O61-L61-K61-J61</f>
        <v>-134.62504801115185</v>
      </c>
      <c r="N61" s="275"/>
      <c r="O61" s="516">
        <v>-463.79999999999995</v>
      </c>
      <c r="P61" s="5"/>
      <c r="Q61" s="371">
        <v>-110.9</v>
      </c>
      <c r="R61" s="372">
        <v>-93.3</v>
      </c>
      <c r="S61" s="505">
        <v>-93.400000000000034</v>
      </c>
      <c r="T61" s="525">
        <f t="shared" si="45"/>
        <v>-123.80000000000001</v>
      </c>
      <c r="U61" s="5"/>
      <c r="V61" s="526">
        <v>-421.40000000000003</v>
      </c>
      <c r="W61" s="5"/>
      <c r="X61" s="371">
        <v>-107.58295115</v>
      </c>
      <c r="Y61" s="372">
        <v>-98.9</v>
      </c>
      <c r="Z61" s="505">
        <v>-94.5</v>
      </c>
      <c r="AA61" s="271">
        <f t="shared" ref="AA61:AA66" si="46">AC61-SUM(X61:Z61)</f>
        <v>-75.417048849999958</v>
      </c>
      <c r="AB61" s="5"/>
      <c r="AC61" s="526">
        <v>-376.4</v>
      </c>
      <c r="AD61" s="5"/>
      <c r="AE61" s="371">
        <v>-87.528039963986004</v>
      </c>
      <c r="AF61" s="372">
        <v>-84.7</v>
      </c>
      <c r="AG61" s="505">
        <v>276.40000000000026</v>
      </c>
      <c r="AH61" s="271"/>
      <c r="AI61" s="5"/>
      <c r="AJ61" s="526"/>
    </row>
    <row r="62" spans="1:54">
      <c r="A62" s="235" t="s">
        <v>290</v>
      </c>
      <c r="B62" s="235" t="s">
        <v>290</v>
      </c>
      <c r="C62" s="276">
        <v>-11.7</v>
      </c>
      <c r="D62" s="270">
        <v>-14.7</v>
      </c>
      <c r="E62" s="270">
        <v>-14.3</v>
      </c>
      <c r="F62" s="274">
        <f t="shared" ref="F62:F65" si="47">H62-E62-D62-C62</f>
        <v>-2.0999999999999979</v>
      </c>
      <c r="G62" s="275"/>
      <c r="H62" s="253">
        <v>-42.8</v>
      </c>
      <c r="I62" s="275"/>
      <c r="J62" s="373">
        <v>-11.700000000000001</v>
      </c>
      <c r="K62" s="374">
        <v>-13.5</v>
      </c>
      <c r="L62" s="374">
        <v>-12.800000000000002</v>
      </c>
      <c r="M62" s="525">
        <f t="shared" ref="M62:M66" si="48">O62-L62-K62-J62</f>
        <v>-16.499999999999993</v>
      </c>
      <c r="N62" s="275"/>
      <c r="O62" s="516">
        <v>-54.5</v>
      </c>
      <c r="P62" s="5"/>
      <c r="Q62" s="373">
        <v>-15.4</v>
      </c>
      <c r="R62" s="374">
        <v>-15.1</v>
      </c>
      <c r="S62" s="374">
        <v>-15.899999999999999</v>
      </c>
      <c r="T62" s="525">
        <f t="shared" si="45"/>
        <v>-17.600000000000001</v>
      </c>
      <c r="U62" s="5"/>
      <c r="V62" s="516">
        <v>-64</v>
      </c>
      <c r="W62" s="5"/>
      <c r="X62" s="373">
        <v>-17.100000000000001</v>
      </c>
      <c r="Y62" s="374">
        <v>-19.7</v>
      </c>
      <c r="Z62" s="374">
        <v>-22.900000000000006</v>
      </c>
      <c r="AA62" s="270">
        <f t="shared" si="46"/>
        <v>-21.5</v>
      </c>
      <c r="AB62" s="5"/>
      <c r="AC62" s="516">
        <v>-81.2</v>
      </c>
      <c r="AD62" s="5"/>
      <c r="AE62" s="373">
        <v>-21.393072528933299</v>
      </c>
      <c r="AF62" s="374">
        <v>-22.7</v>
      </c>
      <c r="AG62" s="374">
        <v>78.199999999999932</v>
      </c>
      <c r="AH62" s="270"/>
      <c r="AI62" s="5"/>
      <c r="AJ62" s="516"/>
    </row>
    <row r="63" spans="1:54">
      <c r="A63" s="235" t="s">
        <v>291</v>
      </c>
      <c r="B63" s="235" t="s">
        <v>291</v>
      </c>
      <c r="C63" s="276">
        <v>-0.5</v>
      </c>
      <c r="D63" s="270">
        <v>-0.9</v>
      </c>
      <c r="E63" s="270">
        <v>-0.8</v>
      </c>
      <c r="F63" s="274">
        <f t="shared" si="47"/>
        <v>-0.19999999999999984</v>
      </c>
      <c r="G63" s="275"/>
      <c r="H63" s="253">
        <v>-2.4</v>
      </c>
      <c r="I63" s="275"/>
      <c r="J63" s="373">
        <v>-0.5</v>
      </c>
      <c r="K63" s="374">
        <v>-1.4000000000000001</v>
      </c>
      <c r="L63" s="374">
        <v>-1.2000000000000002</v>
      </c>
      <c r="M63" s="525">
        <f t="shared" si="48"/>
        <v>-1.8999999999999995</v>
      </c>
      <c r="N63" s="275"/>
      <c r="O63" s="516">
        <v>-5</v>
      </c>
      <c r="P63" s="5"/>
      <c r="Q63" s="373">
        <v>-1.6</v>
      </c>
      <c r="R63" s="374">
        <v>-1.1000000000000001</v>
      </c>
      <c r="S63" s="374">
        <v>-2.1</v>
      </c>
      <c r="T63" s="525">
        <f t="shared" si="45"/>
        <v>-2.9999999999999991</v>
      </c>
      <c r="U63" s="5"/>
      <c r="V63" s="516">
        <v>-7.8</v>
      </c>
      <c r="W63" s="5"/>
      <c r="X63" s="373">
        <v>-4.9000000000000004</v>
      </c>
      <c r="Y63" s="374">
        <v>-3.5</v>
      </c>
      <c r="Z63" s="374">
        <v>-4.6999999999999993</v>
      </c>
      <c r="AA63" s="270">
        <f t="shared" si="46"/>
        <v>-5.0999999999999996</v>
      </c>
      <c r="AB63" s="5"/>
      <c r="AC63" s="516">
        <v>-18.2</v>
      </c>
      <c r="AD63" s="5"/>
      <c r="AE63" s="373">
        <v>-5.1439096806376403</v>
      </c>
      <c r="AF63" s="374">
        <v>-5.3</v>
      </c>
      <c r="AG63" s="374">
        <v>22.99999999999995</v>
      </c>
      <c r="AH63" s="270"/>
      <c r="AI63" s="5"/>
      <c r="AJ63" s="516"/>
    </row>
    <row r="64" spans="1:54">
      <c r="A64" s="235" t="s">
        <v>307</v>
      </c>
      <c r="B64" s="235" t="s">
        <v>307</v>
      </c>
      <c r="C64" s="276">
        <v>0</v>
      </c>
      <c r="D64" s="270">
        <v>0</v>
      </c>
      <c r="E64" s="270">
        <v>0</v>
      </c>
      <c r="F64" s="274">
        <f t="shared" si="47"/>
        <v>0</v>
      </c>
      <c r="G64" s="275"/>
      <c r="H64" s="253">
        <v>0</v>
      </c>
      <c r="I64" s="275"/>
      <c r="J64" s="373">
        <v>0</v>
      </c>
      <c r="K64" s="374">
        <v>-9.1999999999999993</v>
      </c>
      <c r="L64" s="374">
        <v>-3.6</v>
      </c>
      <c r="M64" s="525">
        <f t="shared" si="48"/>
        <v>-22.900000000000002</v>
      </c>
      <c r="N64" s="275"/>
      <c r="O64" s="516">
        <v>-35.700000000000003</v>
      </c>
      <c r="P64" s="5"/>
      <c r="Q64" s="373">
        <v>-17.600000000000001</v>
      </c>
      <c r="R64" s="374">
        <v>-21.5</v>
      </c>
      <c r="S64" s="374">
        <v>-22.3</v>
      </c>
      <c r="T64" s="525">
        <f t="shared" si="45"/>
        <v>-22.799999999999997</v>
      </c>
      <c r="U64" s="5"/>
      <c r="V64" s="516">
        <v>-84.2</v>
      </c>
      <c r="W64" s="5"/>
      <c r="X64" s="373">
        <v>-25.3</v>
      </c>
      <c r="Y64" s="374">
        <v>-22.1</v>
      </c>
      <c r="Z64" s="374">
        <v>-31.1</v>
      </c>
      <c r="AA64" s="270">
        <f t="shared" si="46"/>
        <v>-39.5</v>
      </c>
      <c r="AB64" s="5"/>
      <c r="AC64" s="516">
        <v>-118</v>
      </c>
      <c r="AD64" s="5"/>
      <c r="AE64" s="373">
        <v>-35.747249665197003</v>
      </c>
      <c r="AF64" s="374">
        <v>-31.5</v>
      </c>
      <c r="AG64" s="374">
        <v>100.10000000000004</v>
      </c>
      <c r="AH64" s="270"/>
      <c r="AI64" s="5"/>
      <c r="AJ64" s="516"/>
    </row>
    <row r="65" spans="1:36">
      <c r="A65" s="235" t="s">
        <v>267</v>
      </c>
      <c r="B65" s="235" t="s">
        <v>267</v>
      </c>
      <c r="C65" s="272">
        <v>-0.1</v>
      </c>
      <c r="D65" s="271">
        <v>-0.2</v>
      </c>
      <c r="E65" s="271">
        <v>-0.5</v>
      </c>
      <c r="F65" s="274">
        <f t="shared" si="47"/>
        <v>-9.9999999999999895E-2</v>
      </c>
      <c r="G65" s="275"/>
      <c r="H65" s="253">
        <v>-0.89999999999999991</v>
      </c>
      <c r="I65" s="275"/>
      <c r="J65" s="371">
        <v>0.3</v>
      </c>
      <c r="K65" s="372">
        <v>-0.30000000000000004</v>
      </c>
      <c r="L65" s="372">
        <v>-0.29999999999999993</v>
      </c>
      <c r="M65" s="525">
        <f t="shared" si="48"/>
        <v>-0.89999999999999991</v>
      </c>
      <c r="N65" s="275"/>
      <c r="O65" s="516">
        <v>-1.2</v>
      </c>
      <c r="P65" s="5"/>
      <c r="Q65" s="371">
        <v>-0.30000000000000004</v>
      </c>
      <c r="R65" s="372">
        <v>-0.2</v>
      </c>
      <c r="S65" s="505">
        <v>-0.39999999999999991</v>
      </c>
      <c r="T65" s="525">
        <f t="shared" si="45"/>
        <v>-0.20000000000000018</v>
      </c>
      <c r="U65" s="5"/>
      <c r="V65" s="516">
        <v>-1.1000000000000001</v>
      </c>
      <c r="W65" s="5"/>
      <c r="X65" s="371">
        <v>-0.2</v>
      </c>
      <c r="Y65" s="372">
        <v>-0.2</v>
      </c>
      <c r="Z65" s="505">
        <v>-9.9999999999999978E-2</v>
      </c>
      <c r="AA65" s="271">
        <f t="shared" si="46"/>
        <v>-0.19999999999999996</v>
      </c>
      <c r="AB65" s="5"/>
      <c r="AC65" s="516">
        <v>-0.7</v>
      </c>
      <c r="AD65" s="5"/>
      <c r="AE65" s="371">
        <v>-0.18507256016743001</v>
      </c>
      <c r="AF65" s="372">
        <v>-0.2</v>
      </c>
      <c r="AG65" s="505">
        <v>1.3000000000000029</v>
      </c>
      <c r="AH65" s="271"/>
      <c r="AI65" s="5"/>
      <c r="AJ65" s="516"/>
    </row>
    <row r="66" spans="1:36" ht="15" thickBot="1">
      <c r="A66" s="235" t="s">
        <v>295</v>
      </c>
      <c r="B66" s="235" t="s">
        <v>296</v>
      </c>
      <c r="C66" s="278">
        <v>-1.9</v>
      </c>
      <c r="D66" s="302">
        <v>-0.6</v>
      </c>
      <c r="E66" s="302">
        <v>-0.5</v>
      </c>
      <c r="F66" s="301">
        <f>H66-E66-C66</f>
        <v>-2.4</v>
      </c>
      <c r="G66" s="275"/>
      <c r="H66" s="300">
        <v>-4.8</v>
      </c>
      <c r="I66" s="275"/>
      <c r="J66" s="377">
        <v>-0.4</v>
      </c>
      <c r="K66" s="378">
        <v>0</v>
      </c>
      <c r="L66" s="378">
        <v>-1.3</v>
      </c>
      <c r="M66" s="527">
        <f t="shared" si="48"/>
        <v>0.6</v>
      </c>
      <c r="N66" s="275"/>
      <c r="O66" s="528">
        <v>-1.1000000000000001</v>
      </c>
      <c r="P66" s="5"/>
      <c r="Q66" s="377">
        <v>0</v>
      </c>
      <c r="R66" s="378">
        <v>-0.7</v>
      </c>
      <c r="S66" s="378">
        <v>-2.2999999999999998</v>
      </c>
      <c r="T66" s="527">
        <f t="shared" si="45"/>
        <v>0</v>
      </c>
      <c r="U66" s="5"/>
      <c r="V66" s="528">
        <f>SUM(Q66:S66)</f>
        <v>-3</v>
      </c>
      <c r="W66" s="5"/>
      <c r="X66" s="377">
        <v>-0.51704885</v>
      </c>
      <c r="Y66" s="378">
        <v>0</v>
      </c>
      <c r="Z66" s="378">
        <v>0</v>
      </c>
      <c r="AA66" s="302">
        <f t="shared" si="46"/>
        <v>0.51704885</v>
      </c>
      <c r="AB66" s="5"/>
      <c r="AC66" s="528">
        <v>0</v>
      </c>
      <c r="AD66" s="5"/>
      <c r="AE66" s="377"/>
      <c r="AF66" s="378"/>
      <c r="AG66" s="378"/>
      <c r="AH66" s="302"/>
      <c r="AI66" s="5"/>
      <c r="AJ66" s="528"/>
    </row>
    <row r="67" spans="1:36">
      <c r="A67" s="5"/>
      <c r="B67" s="5"/>
      <c r="C67" s="5"/>
      <c r="D67" s="243"/>
      <c r="E67" s="243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243"/>
      <c r="AB67" s="5"/>
      <c r="AC67" s="5"/>
      <c r="AD67" s="5"/>
      <c r="AE67" s="5"/>
      <c r="AF67" s="5"/>
      <c r="AG67" s="5"/>
      <c r="AH67" s="243"/>
      <c r="AI67" s="5"/>
      <c r="AJ67" s="5"/>
    </row>
    <row r="68" spans="1:36" ht="15" thickBot="1">
      <c r="A68" s="5"/>
      <c r="B68" s="5"/>
      <c r="C68" s="5"/>
      <c r="D68" s="243"/>
      <c r="E68" s="243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243"/>
      <c r="AB68" s="5"/>
      <c r="AC68" s="5"/>
      <c r="AD68" s="5"/>
      <c r="AE68" s="5"/>
      <c r="AF68" s="5"/>
      <c r="AG68" s="5"/>
      <c r="AH68" s="243"/>
      <c r="AI68" s="5"/>
      <c r="AJ68" s="5"/>
    </row>
    <row r="69" spans="1:36" ht="15" thickTop="1">
      <c r="A69" s="247" t="s">
        <v>309</v>
      </c>
      <c r="B69" s="248" t="s">
        <v>308</v>
      </c>
      <c r="C69" s="266"/>
      <c r="D69" s="267"/>
      <c r="E69" s="267"/>
      <c r="F69" s="268"/>
      <c r="G69" s="269"/>
      <c r="H69" s="293"/>
      <c r="I69" s="269"/>
      <c r="J69" s="375">
        <f>SUM(J70:J75)</f>
        <v>2382.9415239449218</v>
      </c>
      <c r="K69" s="376">
        <f>SUM(K70:K75)</f>
        <v>2417.1455591295799</v>
      </c>
      <c r="L69" s="376">
        <f>SUM(L70:L75)</f>
        <v>2488.6999999999998</v>
      </c>
      <c r="M69" s="524">
        <f t="shared" ref="M69:M74" si="49">O69</f>
        <v>2582.5</v>
      </c>
      <c r="N69" s="269"/>
      <c r="O69" s="514">
        <v>2582.5</v>
      </c>
      <c r="P69" s="299"/>
      <c r="Q69" s="375">
        <f>SUM(Q70:Q75)</f>
        <v>2791</v>
      </c>
      <c r="R69" s="376">
        <v>2950.6959623098601</v>
      </c>
      <c r="S69" s="376">
        <v>3121.4</v>
      </c>
      <c r="T69" s="524">
        <f>V69</f>
        <v>2691.1</v>
      </c>
      <c r="U69" s="5"/>
      <c r="V69" s="514">
        <v>2691.1</v>
      </c>
      <c r="W69" s="5"/>
      <c r="X69" s="375">
        <v>2914.3</v>
      </c>
      <c r="Y69" s="376">
        <v>2742.2</v>
      </c>
      <c r="Z69" s="376">
        <v>3078.4</v>
      </c>
      <c r="AA69" s="267">
        <f>AC69</f>
        <v>2911.6</v>
      </c>
      <c r="AB69" s="5"/>
      <c r="AC69" s="514">
        <v>2911.6</v>
      </c>
      <c r="AD69" s="5"/>
      <c r="AE69" s="375">
        <v>3272</v>
      </c>
      <c r="AF69" s="376">
        <v>3577</v>
      </c>
      <c r="AG69" s="376">
        <v>3801.2</v>
      </c>
      <c r="AH69" s="267"/>
      <c r="AI69" s="5"/>
      <c r="AJ69" s="514"/>
    </row>
    <row r="70" spans="1:36">
      <c r="A70" s="235" t="s">
        <v>289</v>
      </c>
      <c r="B70" s="235" t="s">
        <v>289</v>
      </c>
      <c r="C70" s="476"/>
      <c r="D70" s="271"/>
      <c r="E70" s="271"/>
      <c r="F70" s="274"/>
      <c r="G70" s="275"/>
      <c r="H70" s="253"/>
      <c r="I70" s="275"/>
      <c r="J70" s="486">
        <v>763.84152394492196</v>
      </c>
      <c r="K70" s="489">
        <v>1481.5437496549027</v>
      </c>
      <c r="L70" s="372">
        <v>1282.3</v>
      </c>
      <c r="M70" s="525">
        <f t="shared" si="49"/>
        <v>1450.6</v>
      </c>
      <c r="N70" s="275"/>
      <c r="O70" s="516">
        <v>1450.6</v>
      </c>
      <c r="P70" s="5"/>
      <c r="Q70" s="371">
        <v>746.90000000000009</v>
      </c>
      <c r="R70" s="372">
        <v>1454.1</v>
      </c>
      <c r="S70" s="505">
        <v>1264</v>
      </c>
      <c r="T70" s="525">
        <f t="shared" ref="T70:T75" si="50">V70</f>
        <v>1044.8</v>
      </c>
      <c r="U70" s="5"/>
      <c r="V70" s="516">
        <v>1044.8</v>
      </c>
      <c r="W70" s="5"/>
      <c r="X70" s="371">
        <v>1050.0999999999999</v>
      </c>
      <c r="Y70" s="372">
        <v>1102.9000000000001</v>
      </c>
      <c r="Z70" s="505">
        <v>1072.1999999999998</v>
      </c>
      <c r="AA70" s="271">
        <f>AC70</f>
        <v>1181.8000000000002</v>
      </c>
      <c r="AB70" s="5"/>
      <c r="AC70" s="516">
        <v>1181.8000000000002</v>
      </c>
      <c r="AD70" s="5"/>
      <c r="AE70" s="371">
        <v>1307.5</v>
      </c>
      <c r="AF70" s="372">
        <v>1702.3</v>
      </c>
      <c r="AG70" s="505">
        <v>1762.1</v>
      </c>
      <c r="AH70" s="271"/>
      <c r="AI70" s="5"/>
      <c r="AJ70" s="516"/>
    </row>
    <row r="71" spans="1:36">
      <c r="A71" s="235" t="s">
        <v>290</v>
      </c>
      <c r="B71" s="235" t="s">
        <v>290</v>
      </c>
      <c r="C71" s="276"/>
      <c r="D71" s="270"/>
      <c r="E71" s="270"/>
      <c r="F71" s="274"/>
      <c r="G71" s="275"/>
      <c r="H71" s="253"/>
      <c r="I71" s="275"/>
      <c r="J71" s="487">
        <v>591</v>
      </c>
      <c r="K71" s="490">
        <v>687.69843735134486</v>
      </c>
      <c r="L71" s="374">
        <v>876.4</v>
      </c>
      <c r="M71" s="525">
        <f t="shared" si="49"/>
        <v>750</v>
      </c>
      <c r="N71" s="275"/>
      <c r="O71" s="516">
        <v>750</v>
      </c>
      <c r="P71" s="5"/>
      <c r="Q71" s="373">
        <v>921.7</v>
      </c>
      <c r="R71" s="374">
        <v>979.18963358986105</v>
      </c>
      <c r="S71" s="374">
        <v>1083</v>
      </c>
      <c r="T71" s="525">
        <f t="shared" si="50"/>
        <v>962.2</v>
      </c>
      <c r="U71" s="5"/>
      <c r="V71" s="516">
        <v>962.2</v>
      </c>
      <c r="W71" s="5"/>
      <c r="X71" s="373">
        <v>1083.3</v>
      </c>
      <c r="Y71" s="374">
        <v>890.9</v>
      </c>
      <c r="Z71" s="374">
        <v>1001.1999999999999</v>
      </c>
      <c r="AA71" s="270">
        <f>AC71</f>
        <v>810.69999999999993</v>
      </c>
      <c r="AB71" s="5"/>
      <c r="AC71" s="516">
        <v>810.69999999999993</v>
      </c>
      <c r="AD71" s="5"/>
      <c r="AE71" s="373">
        <v>945.5</v>
      </c>
      <c r="AF71" s="374">
        <v>821.7</v>
      </c>
      <c r="AG71" s="374">
        <v>901.8</v>
      </c>
      <c r="AH71" s="270"/>
      <c r="AI71" s="5"/>
      <c r="AJ71" s="516"/>
    </row>
    <row r="72" spans="1:36">
      <c r="A72" s="235" t="s">
        <v>291</v>
      </c>
      <c r="B72" s="235" t="s">
        <v>291</v>
      </c>
      <c r="C72" s="276"/>
      <c r="D72" s="270"/>
      <c r="E72" s="270"/>
      <c r="F72" s="274"/>
      <c r="G72" s="275"/>
      <c r="H72" s="253"/>
      <c r="I72" s="275"/>
      <c r="J72" s="487">
        <v>95.7</v>
      </c>
      <c r="K72" s="490">
        <v>119.50337212333207</v>
      </c>
      <c r="L72" s="374">
        <v>178.1</v>
      </c>
      <c r="M72" s="525">
        <f t="shared" si="49"/>
        <v>211.9</v>
      </c>
      <c r="N72" s="275"/>
      <c r="O72" s="516">
        <v>211.9</v>
      </c>
      <c r="P72" s="5"/>
      <c r="Q72" s="373">
        <v>208</v>
      </c>
      <c r="R72" s="374">
        <v>273.30632871999899</v>
      </c>
      <c r="S72" s="374">
        <v>387.6</v>
      </c>
      <c r="T72" s="525">
        <f t="shared" si="50"/>
        <v>335.7</v>
      </c>
      <c r="U72" s="5"/>
      <c r="V72" s="516">
        <v>335.7</v>
      </c>
      <c r="W72" s="5"/>
      <c r="X72" s="373">
        <v>363.1</v>
      </c>
      <c r="Y72" s="374">
        <v>303.7</v>
      </c>
      <c r="Z72" s="374">
        <v>349.59999999999997</v>
      </c>
      <c r="AA72" s="270">
        <f t="shared" ref="AA72:AA75" si="51">AC72</f>
        <v>239.79999999999998</v>
      </c>
      <c r="AB72" s="5"/>
      <c r="AC72" s="516">
        <v>239.79999999999998</v>
      </c>
      <c r="AD72" s="5"/>
      <c r="AE72" s="373">
        <v>250.7</v>
      </c>
      <c r="AF72" s="374">
        <v>247.9</v>
      </c>
      <c r="AG72" s="374">
        <v>303</v>
      </c>
      <c r="AH72" s="270"/>
      <c r="AI72" s="5"/>
      <c r="AJ72" s="516"/>
    </row>
    <row r="73" spans="1:36">
      <c r="A73" s="235" t="s">
        <v>307</v>
      </c>
      <c r="B73" s="235" t="s">
        <v>307</v>
      </c>
      <c r="C73" s="276"/>
      <c r="D73" s="270"/>
      <c r="E73" s="270"/>
      <c r="F73" s="274"/>
      <c r="G73" s="275"/>
      <c r="H73" s="253"/>
      <c r="I73" s="275"/>
      <c r="J73" s="487">
        <v>0</v>
      </c>
      <c r="K73" s="490">
        <v>103.8</v>
      </c>
      <c r="L73" s="374">
        <v>119.3</v>
      </c>
      <c r="M73" s="525">
        <f t="shared" si="49"/>
        <v>142.9</v>
      </c>
      <c r="N73" s="275"/>
      <c r="O73" s="516">
        <v>142.9</v>
      </c>
      <c r="P73" s="5"/>
      <c r="Q73" s="373">
        <v>79.599999999999994</v>
      </c>
      <c r="R73" s="374">
        <v>219.6</v>
      </c>
      <c r="S73" s="374">
        <v>356.50000000000006</v>
      </c>
      <c r="T73" s="525">
        <f t="shared" si="50"/>
        <v>328.3</v>
      </c>
      <c r="U73" s="5"/>
      <c r="V73" s="516">
        <v>328.3</v>
      </c>
      <c r="W73" s="5"/>
      <c r="X73" s="373">
        <v>398.29999999999995</v>
      </c>
      <c r="Y73" s="374">
        <v>425.3</v>
      </c>
      <c r="Z73" s="374">
        <v>635.29999999999995</v>
      </c>
      <c r="AA73" s="270">
        <f t="shared" si="51"/>
        <v>659</v>
      </c>
      <c r="AB73" s="5"/>
      <c r="AC73" s="516">
        <v>659</v>
      </c>
      <c r="AD73" s="5"/>
      <c r="AE73" s="373">
        <v>747.6</v>
      </c>
      <c r="AF73" s="374">
        <v>782.5</v>
      </c>
      <c r="AG73" s="374">
        <v>803.8</v>
      </c>
      <c r="AH73" s="270"/>
      <c r="AI73" s="5"/>
      <c r="AJ73" s="516"/>
    </row>
    <row r="74" spans="1:36">
      <c r="A74" s="235" t="s">
        <v>267</v>
      </c>
      <c r="B74" s="235" t="s">
        <v>267</v>
      </c>
      <c r="C74" s="476"/>
      <c r="D74" s="271"/>
      <c r="E74" s="271"/>
      <c r="F74" s="274"/>
      <c r="G74" s="275"/>
      <c r="H74" s="253"/>
      <c r="I74" s="275"/>
      <c r="J74" s="486">
        <v>21.8</v>
      </c>
      <c r="K74" s="491">
        <v>24.599999999999998</v>
      </c>
      <c r="L74" s="372">
        <v>32.6</v>
      </c>
      <c r="M74" s="525">
        <f t="shared" si="49"/>
        <v>27.1</v>
      </c>
      <c r="N74" s="275"/>
      <c r="O74" s="516">
        <v>27.1</v>
      </c>
      <c r="P74" s="5"/>
      <c r="Q74" s="371">
        <v>29.900000000000002</v>
      </c>
      <c r="R74" s="372">
        <v>24.4</v>
      </c>
      <c r="S74" s="505">
        <v>30.3</v>
      </c>
      <c r="T74" s="525">
        <f t="shared" si="50"/>
        <v>20.100000000000001</v>
      </c>
      <c r="U74" s="5"/>
      <c r="V74" s="516">
        <v>20.100000000000001</v>
      </c>
      <c r="W74" s="5"/>
      <c r="X74" s="371">
        <v>19.5</v>
      </c>
      <c r="Y74" s="372">
        <v>19.399999999999999</v>
      </c>
      <c r="Z74" s="505">
        <v>20.100000000000001</v>
      </c>
      <c r="AA74" s="271">
        <f t="shared" si="51"/>
        <v>20.3</v>
      </c>
      <c r="AB74" s="5"/>
      <c r="AC74" s="516">
        <v>20.3</v>
      </c>
      <c r="AD74" s="5"/>
      <c r="AE74" s="371">
        <v>20.7</v>
      </c>
      <c r="AF74" s="372">
        <v>22.6</v>
      </c>
      <c r="AG74" s="505">
        <v>30.5</v>
      </c>
      <c r="AH74" s="271"/>
      <c r="AI74" s="5"/>
      <c r="AJ74" s="516"/>
    </row>
    <row r="75" spans="1:36" ht="15" thickBot="1">
      <c r="A75" s="235" t="s">
        <v>295</v>
      </c>
      <c r="B75" s="235" t="s">
        <v>296</v>
      </c>
      <c r="C75" s="278"/>
      <c r="D75" s="302"/>
      <c r="E75" s="302"/>
      <c r="F75" s="301"/>
      <c r="G75" s="275"/>
      <c r="H75" s="300"/>
      <c r="I75" s="275"/>
      <c r="J75" s="488">
        <v>910.6</v>
      </c>
      <c r="K75" s="492">
        <v>0</v>
      </c>
      <c r="L75" s="378">
        <v>0</v>
      </c>
      <c r="M75" s="527"/>
      <c r="N75" s="275"/>
      <c r="O75" s="528">
        <v>0</v>
      </c>
      <c r="P75" s="5"/>
      <c r="Q75" s="377">
        <v>804.9</v>
      </c>
      <c r="R75" s="378">
        <v>0.1</v>
      </c>
      <c r="S75" s="378">
        <v>0</v>
      </c>
      <c r="T75" s="527">
        <f t="shared" si="50"/>
        <v>0</v>
      </c>
      <c r="U75" s="5"/>
      <c r="V75" s="528">
        <v>0</v>
      </c>
      <c r="W75" s="5"/>
      <c r="X75" s="377">
        <v>0</v>
      </c>
      <c r="Y75" s="378"/>
      <c r="Z75" s="378">
        <v>0</v>
      </c>
      <c r="AA75" s="302">
        <f t="shared" si="51"/>
        <v>0</v>
      </c>
      <c r="AB75" s="5"/>
      <c r="AC75" s="528">
        <v>0</v>
      </c>
      <c r="AD75" s="5"/>
      <c r="AE75" s="377"/>
      <c r="AF75" s="378"/>
      <c r="AG75" s="378"/>
      <c r="AH75" s="302"/>
      <c r="AI75" s="5"/>
      <c r="AJ75" s="528"/>
    </row>
    <row r="76" spans="1:36">
      <c r="A76" s="5"/>
      <c r="B76" s="5"/>
      <c r="C76" s="5"/>
      <c r="D76" s="243"/>
      <c r="E76" s="243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243"/>
      <c r="AB76" s="5"/>
      <c r="AC76" s="5"/>
      <c r="AD76" s="5"/>
      <c r="AE76" s="5"/>
      <c r="AF76" s="5"/>
      <c r="AG76" s="5"/>
      <c r="AH76" s="243"/>
      <c r="AI76" s="5"/>
      <c r="AJ76" s="5"/>
    </row>
    <row r="77" spans="1:36">
      <c r="A77" s="5"/>
      <c r="B77" s="5"/>
      <c r="C77" s="5"/>
      <c r="D77" s="243"/>
      <c r="E77" s="243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243"/>
      <c r="AB77" s="5"/>
      <c r="AC77" s="5"/>
      <c r="AD77" s="5"/>
      <c r="AE77" s="5"/>
      <c r="AF77" s="5"/>
      <c r="AG77" s="5"/>
      <c r="AH77" s="243"/>
      <c r="AI77" s="5"/>
      <c r="AJ77" s="5"/>
    </row>
    <row r="78" spans="1:36">
      <c r="A78" s="5"/>
      <c r="B78" s="5"/>
      <c r="C78" s="5"/>
      <c r="D78" s="243"/>
      <c r="E78" s="243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62"/>
      <c r="Y78" s="5"/>
      <c r="Z78" s="5"/>
      <c r="AA78" s="243"/>
      <c r="AB78" s="5"/>
      <c r="AC78" s="5"/>
      <c r="AD78" s="5"/>
      <c r="AE78" s="562"/>
      <c r="AF78" s="5"/>
      <c r="AG78" s="5"/>
      <c r="AH78" s="243"/>
      <c r="AI78" s="5"/>
      <c r="AJ78" s="5"/>
    </row>
    <row r="79" spans="1:36">
      <c r="A79" s="5"/>
      <c r="B79" s="5"/>
      <c r="C79" s="5"/>
      <c r="D79" s="243"/>
      <c r="E79" s="243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62"/>
      <c r="Y79" s="5"/>
      <c r="Z79" s="5"/>
      <c r="AA79" s="243"/>
      <c r="AB79" s="5"/>
      <c r="AC79" s="5"/>
      <c r="AD79" s="5"/>
      <c r="AE79" s="562"/>
      <c r="AF79" s="5"/>
      <c r="AG79" s="5"/>
      <c r="AH79" s="243"/>
      <c r="AI79" s="5"/>
      <c r="AJ79" s="5"/>
    </row>
    <row r="80" spans="1:36">
      <c r="A80" s="5"/>
      <c r="B80" s="5"/>
      <c r="C80" s="5"/>
      <c r="D80" s="243"/>
      <c r="E80" s="243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62"/>
      <c r="Y80" s="5"/>
      <c r="Z80" s="5"/>
      <c r="AA80" s="243"/>
      <c r="AB80" s="5"/>
      <c r="AC80" s="5"/>
      <c r="AD80" s="5"/>
      <c r="AE80" s="562"/>
      <c r="AF80" s="5"/>
      <c r="AG80" s="5"/>
      <c r="AH80" s="243"/>
      <c r="AI80" s="5"/>
      <c r="AJ80" s="5"/>
    </row>
    <row r="81" spans="1:36">
      <c r="A81" s="5"/>
      <c r="B81" s="5"/>
      <c r="C81" s="5"/>
      <c r="D81" s="243"/>
      <c r="E81" s="243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62"/>
      <c r="Y81" s="5"/>
      <c r="Z81" s="5"/>
      <c r="AA81" s="243"/>
      <c r="AB81" s="5"/>
      <c r="AC81" s="5"/>
      <c r="AD81" s="5"/>
      <c r="AE81" s="562"/>
      <c r="AF81" s="5"/>
      <c r="AG81" s="5"/>
      <c r="AH81" s="243"/>
      <c r="AI81" s="5"/>
      <c r="AJ81" s="5"/>
    </row>
    <row r="82" spans="1:36">
      <c r="A82" s="5"/>
      <c r="B82" s="5"/>
      <c r="C82" s="5"/>
      <c r="D82" s="243"/>
      <c r="E82" s="243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243"/>
      <c r="AB82" s="5"/>
      <c r="AC82" s="5"/>
      <c r="AD82" s="5"/>
      <c r="AE82" s="5"/>
      <c r="AF82" s="5"/>
      <c r="AG82" s="5"/>
      <c r="AH82" s="243"/>
      <c r="AI82" s="5"/>
      <c r="AJ82" s="5"/>
    </row>
    <row r="83" spans="1:36">
      <c r="A83" s="5"/>
      <c r="B83" s="5"/>
      <c r="C83" s="5"/>
      <c r="D83" s="243"/>
      <c r="E83" s="243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243"/>
      <c r="AB83" s="5"/>
      <c r="AC83" s="5"/>
      <c r="AD83" s="5"/>
      <c r="AE83" s="5"/>
      <c r="AF83" s="5"/>
      <c r="AG83" s="5"/>
      <c r="AH83" s="243"/>
      <c r="AI83" s="5"/>
      <c r="AJ83" s="5"/>
    </row>
    <row r="84" spans="1:36">
      <c r="A84" s="5"/>
      <c r="B84" s="5"/>
      <c r="C84" s="5"/>
      <c r="D84" s="243"/>
      <c r="E84" s="243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243"/>
      <c r="AB84" s="5"/>
      <c r="AC84" s="5"/>
      <c r="AD84" s="5"/>
      <c r="AE84" s="5"/>
      <c r="AF84" s="5"/>
      <c r="AG84" s="5"/>
      <c r="AH84" s="243"/>
      <c r="AI84" s="5"/>
      <c r="AJ84" s="5"/>
    </row>
    <row r="85" spans="1:36">
      <c r="A85" s="5"/>
      <c r="B85" s="5"/>
      <c r="C85" s="5"/>
      <c r="D85" s="243"/>
      <c r="E85" s="243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243"/>
      <c r="AB85" s="5"/>
      <c r="AC85" s="5"/>
      <c r="AD85" s="5"/>
      <c r="AE85" s="5"/>
      <c r="AF85" s="5"/>
      <c r="AG85" s="5"/>
      <c r="AH85" s="243"/>
      <c r="AI85" s="5"/>
      <c r="AJ85" s="5"/>
    </row>
    <row r="86" spans="1:36">
      <c r="A86" s="5"/>
      <c r="B86" s="5"/>
      <c r="C86" s="5"/>
      <c r="D86" s="243"/>
      <c r="E86" s="243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243"/>
      <c r="AB86" s="5"/>
      <c r="AC86" s="5"/>
      <c r="AD86" s="5"/>
      <c r="AE86" s="5"/>
      <c r="AF86" s="5"/>
      <c r="AG86" s="5"/>
      <c r="AH86" s="243"/>
      <c r="AI86" s="5"/>
      <c r="AJ86" s="5"/>
    </row>
    <row r="87" spans="1:36">
      <c r="A87" s="5"/>
      <c r="B87" s="5"/>
      <c r="C87" s="5"/>
      <c r="D87" s="243"/>
      <c r="E87" s="243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243"/>
      <c r="AB87" s="5"/>
      <c r="AC87" s="5"/>
      <c r="AD87" s="5"/>
      <c r="AE87" s="5"/>
      <c r="AF87" s="5"/>
      <c r="AG87" s="5"/>
      <c r="AH87" s="243"/>
      <c r="AI87" s="5"/>
      <c r="AJ87" s="5"/>
    </row>
    <row r="88" spans="1:36">
      <c r="A88" s="5"/>
      <c r="B88" s="5"/>
      <c r="C88" s="5"/>
      <c r="D88" s="243"/>
      <c r="E88" s="243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243"/>
      <c r="AB88" s="5"/>
      <c r="AC88" s="5"/>
      <c r="AD88" s="5"/>
      <c r="AE88" s="5"/>
      <c r="AF88" s="5"/>
      <c r="AG88" s="5"/>
      <c r="AH88" s="243"/>
      <c r="AI88" s="5"/>
      <c r="AJ88" s="5"/>
    </row>
    <row r="89" spans="1:36">
      <c r="A89" s="5"/>
      <c r="B89" s="5"/>
      <c r="C89" s="5"/>
      <c r="D89" s="243"/>
      <c r="E89" s="243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243"/>
      <c r="AB89" s="5"/>
      <c r="AC89" s="5"/>
      <c r="AD89" s="5"/>
      <c r="AE89" s="5"/>
      <c r="AF89" s="5"/>
      <c r="AG89" s="5"/>
      <c r="AH89" s="243"/>
      <c r="AI89" s="5"/>
      <c r="AJ89" s="5"/>
    </row>
    <row r="90" spans="1:36">
      <c r="A90" s="5"/>
      <c r="B90" s="5"/>
      <c r="C90" s="5"/>
      <c r="D90" s="243"/>
      <c r="E90" s="243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243"/>
      <c r="AB90" s="5"/>
      <c r="AC90" s="5"/>
      <c r="AD90" s="5"/>
      <c r="AE90" s="5"/>
      <c r="AF90" s="5"/>
      <c r="AG90" s="5"/>
      <c r="AH90" s="243"/>
      <c r="AI90" s="5"/>
      <c r="AJ90" s="5"/>
    </row>
    <row r="91" spans="1:36">
      <c r="A91" s="5"/>
      <c r="B91" s="5"/>
      <c r="C91" s="5"/>
      <c r="D91" s="243"/>
      <c r="E91" s="243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243"/>
      <c r="AB91" s="5"/>
      <c r="AC91" s="5"/>
      <c r="AD91" s="5"/>
      <c r="AE91" s="5"/>
      <c r="AF91" s="5"/>
      <c r="AG91" s="5"/>
      <c r="AH91" s="243"/>
      <c r="AI91" s="5"/>
      <c r="AJ91" s="5"/>
    </row>
  </sheetData>
  <pageMargins left="0.7" right="0.7" top="0.75" bottom="0.75" header="0.3" footer="0.3"/>
  <pageSetup paperSize="9" orientation="portrait" r:id="rId1"/>
  <customProperties>
    <customPr name="_pios_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theme="0" tint="-0.249977111117893"/>
  </sheetPr>
  <dimension ref="A1:BV324"/>
  <sheetViews>
    <sheetView topLeftCell="A5" zoomScale="90" zoomScaleNormal="90" workbookViewId="0">
      <pane xSplit="1" topLeftCell="AL1" activePane="topRight" state="frozen"/>
      <selection pane="topRight" activeCell="AN26" sqref="AN26"/>
    </sheetView>
  </sheetViews>
  <sheetFormatPr defaultColWidth="9.109375" defaultRowHeight="14.4" outlineLevelCol="1"/>
  <cols>
    <col min="1" max="1" width="71.5546875" style="85" bestFit="1" customWidth="1"/>
    <col min="2" max="2" width="62" style="85" bestFit="1" customWidth="1"/>
    <col min="3" max="4" width="12.44140625" style="85" hidden="1" customWidth="1" outlineLevel="1"/>
    <col min="5" max="5" width="12.44140625" style="85" customWidth="1" collapsed="1"/>
    <col min="6" max="8" width="12.44140625" style="85" hidden="1" customWidth="1" outlineLevel="1"/>
    <col min="9" max="9" width="12.44140625" style="85" customWidth="1" collapsed="1"/>
    <col min="10" max="12" width="12.44140625" style="85" hidden="1" customWidth="1" outlineLevel="1"/>
    <col min="13" max="13" width="12.44140625" style="85" customWidth="1" collapsed="1"/>
    <col min="14" max="16" width="12.44140625" style="85" hidden="1" customWidth="1" outlineLevel="1"/>
    <col min="17" max="17" width="12.44140625" style="85" customWidth="1" collapsed="1"/>
    <col min="18" max="19" width="14.33203125" style="85" hidden="1" customWidth="1" outlineLevel="1"/>
    <col min="20" max="20" width="12.44140625" style="107" hidden="1" customWidth="1" outlineLevel="1"/>
    <col min="21" max="21" width="12.44140625" style="85" customWidth="1" collapsed="1"/>
    <col min="22" max="24" width="12.44140625" style="85" hidden="1" customWidth="1" outlineLevel="1"/>
    <col min="25" max="25" width="11.44140625" style="85" bestFit="1" customWidth="1" collapsed="1"/>
    <col min="26" max="28" width="12.44140625" style="85" hidden="1" customWidth="1" outlineLevel="1"/>
    <col min="29" max="29" width="11.44140625" style="85" bestFit="1" customWidth="1" collapsed="1"/>
    <col min="30" max="31" width="12.44140625" style="85" customWidth="1" outlineLevel="1"/>
    <col min="32" max="32" width="12.44140625" style="513" customWidth="1" outlineLevel="1"/>
    <col min="33" max="33" width="11.44140625" style="85" customWidth="1"/>
    <col min="34" max="34" width="12.33203125" style="85" bestFit="1" customWidth="1"/>
    <col min="35" max="35" width="12.109375" style="85" bestFit="1" customWidth="1"/>
    <col min="36" max="36" width="11.88671875" style="85" bestFit="1" customWidth="1"/>
    <col min="37" max="37" width="11.33203125" style="85" bestFit="1" customWidth="1"/>
    <col min="38" max="40" width="12.109375" style="85" bestFit="1" customWidth="1"/>
    <col min="41" max="41" width="11.33203125" style="85" bestFit="1" customWidth="1"/>
    <col min="42" max="16384" width="9.109375" style="85"/>
  </cols>
  <sheetData>
    <row r="1" spans="1:74">
      <c r="A1" s="84"/>
      <c r="C1" s="617">
        <v>2016</v>
      </c>
      <c r="D1" s="618"/>
      <c r="E1" s="619"/>
      <c r="F1" s="615">
        <v>2017</v>
      </c>
      <c r="G1" s="615"/>
      <c r="H1" s="615"/>
      <c r="I1" s="616"/>
      <c r="J1" s="614">
        <v>2018</v>
      </c>
      <c r="K1" s="615"/>
      <c r="L1" s="615"/>
      <c r="M1" s="616"/>
      <c r="N1" s="614">
        <v>2019</v>
      </c>
      <c r="O1" s="615"/>
      <c r="P1" s="615"/>
      <c r="Q1" s="616"/>
      <c r="R1" s="614" t="s">
        <v>107</v>
      </c>
      <c r="S1" s="615"/>
      <c r="T1" s="615"/>
      <c r="U1" s="616"/>
      <c r="V1" s="614" t="s">
        <v>232</v>
      </c>
      <c r="W1" s="615"/>
      <c r="X1" s="615"/>
      <c r="Y1" s="616"/>
      <c r="Z1" s="614" t="s">
        <v>231</v>
      </c>
      <c r="AA1" s="615"/>
      <c r="AB1" s="615"/>
      <c r="AC1" s="616"/>
      <c r="AD1" s="614" t="s">
        <v>297</v>
      </c>
      <c r="AE1" s="615"/>
      <c r="AF1" s="615"/>
      <c r="AG1" s="616"/>
      <c r="AH1" s="614" t="s">
        <v>335</v>
      </c>
      <c r="AI1" s="615"/>
      <c r="AJ1" s="615"/>
      <c r="AK1" s="616"/>
      <c r="AL1" s="614" t="s">
        <v>346</v>
      </c>
      <c r="AM1" s="615"/>
      <c r="AN1" s="615"/>
      <c r="AO1" s="616"/>
      <c r="AP1" s="86"/>
      <c r="AQ1" s="86"/>
      <c r="AR1" s="86"/>
      <c r="AS1" s="86"/>
      <c r="AT1" s="86"/>
      <c r="AU1" s="86"/>
      <c r="AV1" s="86"/>
      <c r="AW1" s="86"/>
      <c r="AX1" s="86"/>
      <c r="AY1" s="86"/>
      <c r="AZ1" s="86"/>
      <c r="BA1" s="86"/>
      <c r="BB1" s="86"/>
      <c r="BC1" s="86"/>
      <c r="BD1" s="86"/>
      <c r="BE1" s="86"/>
      <c r="BF1" s="86"/>
      <c r="BG1" s="86"/>
      <c r="BH1" s="86"/>
      <c r="BI1" s="86"/>
      <c r="BJ1" s="86"/>
      <c r="BK1" s="86"/>
      <c r="BL1" s="86"/>
      <c r="BM1" s="86"/>
      <c r="BN1" s="86"/>
      <c r="BO1" s="86"/>
      <c r="BP1" s="86"/>
      <c r="BQ1" s="86"/>
      <c r="BR1" s="86"/>
      <c r="BS1" s="86"/>
      <c r="BT1" s="86"/>
      <c r="BU1" s="86"/>
      <c r="BV1" s="86"/>
    </row>
    <row r="2" spans="1:74" ht="20.25" customHeight="1" thickBot="1">
      <c r="A2" s="291" t="s">
        <v>72</v>
      </c>
      <c r="B2" s="291" t="s">
        <v>276</v>
      </c>
      <c r="C2" s="30" t="s">
        <v>108</v>
      </c>
      <c r="D2" s="24" t="s">
        <v>109</v>
      </c>
      <c r="E2" s="26" t="s">
        <v>110</v>
      </c>
      <c r="F2" s="25" t="s">
        <v>111</v>
      </c>
      <c r="G2" s="24" t="s">
        <v>112</v>
      </c>
      <c r="H2" s="24" t="s">
        <v>113</v>
      </c>
      <c r="I2" s="26" t="s">
        <v>114</v>
      </c>
      <c r="J2" s="27" t="s">
        <v>63</v>
      </c>
      <c r="K2" s="24" t="s">
        <v>3</v>
      </c>
      <c r="L2" s="24" t="s">
        <v>4</v>
      </c>
      <c r="M2" s="26" t="s">
        <v>5</v>
      </c>
      <c r="N2" s="27" t="s">
        <v>6</v>
      </c>
      <c r="O2" s="28">
        <v>43646</v>
      </c>
      <c r="P2" s="28">
        <v>43738</v>
      </c>
      <c r="Q2" s="29">
        <v>43830</v>
      </c>
      <c r="R2" s="64">
        <v>43921</v>
      </c>
      <c r="S2" s="28">
        <v>44012</v>
      </c>
      <c r="T2" s="68">
        <v>44104</v>
      </c>
      <c r="U2" s="29" t="s">
        <v>115</v>
      </c>
      <c r="V2" s="64">
        <v>43951</v>
      </c>
      <c r="W2" s="28">
        <v>44043</v>
      </c>
      <c r="X2" s="68">
        <v>44135</v>
      </c>
      <c r="Y2" s="29">
        <v>44227</v>
      </c>
      <c r="Z2" s="64">
        <v>44316</v>
      </c>
      <c r="AA2" s="28">
        <v>44408</v>
      </c>
      <c r="AB2" s="68">
        <v>44500</v>
      </c>
      <c r="AC2" s="29">
        <v>44592</v>
      </c>
      <c r="AD2" s="64">
        <v>44681</v>
      </c>
      <c r="AE2" s="28">
        <v>44773</v>
      </c>
      <c r="AF2" s="68">
        <v>44865</v>
      </c>
      <c r="AG2" s="29">
        <v>44957</v>
      </c>
      <c r="AH2" s="64">
        <v>45046</v>
      </c>
      <c r="AI2" s="28">
        <v>45138</v>
      </c>
      <c r="AJ2" s="68">
        <v>45230</v>
      </c>
      <c r="AK2" s="29">
        <v>45322</v>
      </c>
      <c r="AL2" s="64">
        <v>45412</v>
      </c>
      <c r="AM2" s="28">
        <v>45504</v>
      </c>
      <c r="AN2" s="68">
        <v>45596</v>
      </c>
      <c r="AO2" s="29">
        <v>45688</v>
      </c>
      <c r="AP2" s="86"/>
      <c r="AQ2" s="86"/>
      <c r="AR2" s="86"/>
      <c r="AS2" s="86"/>
      <c r="AT2" s="86"/>
      <c r="AU2" s="86"/>
      <c r="AV2" s="86"/>
      <c r="AW2" s="86"/>
      <c r="AX2" s="86"/>
      <c r="AY2" s="86"/>
      <c r="AZ2" s="86"/>
      <c r="BA2" s="86"/>
      <c r="BB2" s="86"/>
      <c r="BC2" s="86"/>
      <c r="BD2" s="86"/>
      <c r="BE2" s="86"/>
      <c r="BF2" s="86"/>
      <c r="BG2" s="86"/>
      <c r="BH2" s="86"/>
      <c r="BI2" s="86"/>
      <c r="BJ2" s="86"/>
      <c r="BK2" s="86"/>
      <c r="BL2" s="86"/>
      <c r="BM2" s="86"/>
      <c r="BN2" s="86"/>
      <c r="BO2" s="86"/>
      <c r="BP2" s="86"/>
      <c r="BQ2" s="86"/>
      <c r="BR2" s="86"/>
      <c r="BS2" s="86"/>
      <c r="BT2" s="86"/>
      <c r="BU2" s="86"/>
      <c r="BV2" s="86"/>
    </row>
    <row r="3" spans="1:74" ht="20.25" customHeight="1" thickTop="1">
      <c r="A3" s="88" t="s">
        <v>116</v>
      </c>
      <c r="B3" s="88" t="s">
        <v>117</v>
      </c>
      <c r="C3" s="89"/>
      <c r="D3" s="90"/>
      <c r="E3" s="91"/>
      <c r="F3" s="92"/>
      <c r="G3" s="90"/>
      <c r="H3" s="90"/>
      <c r="I3" s="91"/>
      <c r="J3" s="89"/>
      <c r="K3" s="90"/>
      <c r="L3" s="90"/>
      <c r="M3" s="91"/>
      <c r="N3" s="89"/>
      <c r="O3" s="90"/>
      <c r="P3" s="90"/>
      <c r="Q3" s="91"/>
      <c r="R3" s="89"/>
      <c r="S3" s="90"/>
      <c r="T3" s="93"/>
      <c r="U3" s="91"/>
      <c r="V3" s="89"/>
      <c r="W3" s="90"/>
      <c r="X3" s="93"/>
      <c r="Y3" s="91"/>
      <c r="Z3" s="89"/>
      <c r="AA3" s="90"/>
      <c r="AB3" s="93"/>
      <c r="AC3" s="91"/>
      <c r="AD3" s="89"/>
      <c r="AE3" s="90"/>
      <c r="AF3" s="506"/>
      <c r="AG3" s="91"/>
      <c r="AH3" s="89"/>
      <c r="AI3" s="90"/>
      <c r="AJ3" s="506"/>
      <c r="AK3" s="91"/>
      <c r="AL3" s="89"/>
      <c r="AM3" s="90"/>
      <c r="AN3" s="506"/>
      <c r="AO3" s="91"/>
      <c r="AP3" s="86"/>
      <c r="AQ3" s="86"/>
      <c r="AR3" s="86"/>
      <c r="AS3" s="86"/>
      <c r="AT3" s="86"/>
      <c r="AU3" s="86"/>
      <c r="AV3" s="86"/>
      <c r="AW3" s="86"/>
      <c r="AX3" s="86"/>
      <c r="AY3" s="86"/>
      <c r="AZ3" s="86"/>
      <c r="BA3" s="86"/>
      <c r="BB3" s="86"/>
      <c r="BC3" s="86"/>
      <c r="BD3" s="86"/>
      <c r="BE3" s="86"/>
      <c r="BF3" s="86"/>
      <c r="BG3" s="86"/>
      <c r="BH3" s="86"/>
      <c r="BI3" s="86"/>
      <c r="BJ3" s="86"/>
      <c r="BK3" s="86"/>
      <c r="BL3" s="86"/>
      <c r="BM3" s="86"/>
      <c r="BN3" s="86"/>
      <c r="BO3" s="86"/>
      <c r="BP3" s="86"/>
      <c r="BQ3" s="86"/>
      <c r="BR3" s="86"/>
      <c r="BS3" s="86"/>
      <c r="BT3" s="86"/>
      <c r="BU3" s="86"/>
      <c r="BV3" s="86"/>
    </row>
    <row r="4" spans="1:74" ht="20.25" customHeight="1">
      <c r="A4" s="85" t="s">
        <v>118</v>
      </c>
      <c r="B4" s="85" t="s">
        <v>119</v>
      </c>
      <c r="C4" s="94">
        <v>7.5</v>
      </c>
      <c r="D4" s="95">
        <v>7.8</v>
      </c>
      <c r="E4" s="96">
        <v>181.2</v>
      </c>
      <c r="F4" s="97">
        <v>181.2</v>
      </c>
      <c r="G4" s="98">
        <v>189.2</v>
      </c>
      <c r="H4" s="98">
        <v>193</v>
      </c>
      <c r="I4" s="96">
        <v>197.5</v>
      </c>
      <c r="J4" s="99">
        <v>200.5</v>
      </c>
      <c r="K4" s="98">
        <v>213.7</v>
      </c>
      <c r="L4" s="98">
        <v>218.4</v>
      </c>
      <c r="M4" s="96">
        <v>261.7</v>
      </c>
      <c r="N4" s="100">
        <v>277.5</v>
      </c>
      <c r="O4" s="98">
        <v>314.8</v>
      </c>
      <c r="P4" s="98">
        <v>328.1</v>
      </c>
      <c r="Q4" s="101">
        <v>326.39999999999998</v>
      </c>
      <c r="R4" s="100">
        <v>323.39999999999998</v>
      </c>
      <c r="S4" s="102">
        <v>313.60000000000002</v>
      </c>
      <c r="T4" s="102">
        <v>311.89999999999998</v>
      </c>
      <c r="U4" s="101" t="s">
        <v>92</v>
      </c>
      <c r="V4" s="100">
        <v>322.8</v>
      </c>
      <c r="W4" s="102">
        <v>313.7</v>
      </c>
      <c r="X4" s="102">
        <v>311.89999999999998</v>
      </c>
      <c r="Y4" s="101">
        <v>308.3</v>
      </c>
      <c r="Z4" s="100">
        <v>305.89999999999998</v>
      </c>
      <c r="AA4" s="102">
        <v>305</v>
      </c>
      <c r="AB4" s="102">
        <v>299.89999999999998</v>
      </c>
      <c r="AC4" s="101">
        <v>317.89999999999998</v>
      </c>
      <c r="AD4" s="100">
        <v>327.2</v>
      </c>
      <c r="AE4" s="102">
        <v>345.7</v>
      </c>
      <c r="AF4" s="507">
        <v>349.4</v>
      </c>
      <c r="AG4" s="101">
        <v>376.8</v>
      </c>
      <c r="AH4" s="100">
        <v>396.1</v>
      </c>
      <c r="AI4" s="102">
        <v>411.5</v>
      </c>
      <c r="AJ4" s="507">
        <v>424.2</v>
      </c>
      <c r="AK4" s="101">
        <v>431.5</v>
      </c>
      <c r="AL4" s="100">
        <v>442.4</v>
      </c>
      <c r="AM4" s="102">
        <v>456.6</v>
      </c>
      <c r="AN4" s="507">
        <v>466.5</v>
      </c>
      <c r="AO4" s="101"/>
      <c r="AP4" s="86"/>
      <c r="AQ4" s="86"/>
      <c r="AR4" s="86"/>
      <c r="AS4" s="86"/>
      <c r="AT4" s="86"/>
      <c r="AU4" s="86"/>
      <c r="AV4" s="86"/>
      <c r="AW4" s="86"/>
      <c r="AX4" s="86"/>
      <c r="AY4" s="86"/>
      <c r="AZ4" s="86"/>
      <c r="BA4" s="86"/>
      <c r="BB4" s="86"/>
      <c r="BC4" s="86"/>
      <c r="BD4" s="86"/>
      <c r="BE4" s="86"/>
      <c r="BF4" s="86"/>
      <c r="BG4" s="86"/>
      <c r="BH4" s="86"/>
      <c r="BI4" s="86"/>
      <c r="BJ4" s="86"/>
      <c r="BK4" s="86"/>
      <c r="BL4" s="86"/>
      <c r="BM4" s="86"/>
      <c r="BN4" s="86"/>
      <c r="BO4" s="86"/>
      <c r="BP4" s="86"/>
      <c r="BQ4" s="86"/>
      <c r="BR4" s="86"/>
      <c r="BS4" s="86"/>
      <c r="BT4" s="86"/>
      <c r="BU4" s="86"/>
      <c r="BV4" s="86"/>
    </row>
    <row r="5" spans="1:74" ht="20.25" customHeight="1">
      <c r="A5" s="85" t="s">
        <v>120</v>
      </c>
      <c r="B5" s="85" t="s">
        <v>121</v>
      </c>
      <c r="C5" s="94">
        <v>210.5</v>
      </c>
      <c r="D5" s="95">
        <v>210.5</v>
      </c>
      <c r="E5" s="96">
        <v>106.2</v>
      </c>
      <c r="F5" s="97">
        <v>106.2</v>
      </c>
      <c r="G5" s="98">
        <v>106.2</v>
      </c>
      <c r="H5" s="98">
        <v>106.2</v>
      </c>
      <c r="I5" s="96">
        <v>106.2</v>
      </c>
      <c r="J5" s="99">
        <v>106.2</v>
      </c>
      <c r="K5" s="98">
        <v>149.9</v>
      </c>
      <c r="L5" s="98">
        <v>188.8</v>
      </c>
      <c r="M5" s="96">
        <v>202.5</v>
      </c>
      <c r="N5" s="100">
        <v>300.8</v>
      </c>
      <c r="O5" s="98">
        <v>226.1</v>
      </c>
      <c r="P5" s="98">
        <v>227.1</v>
      </c>
      <c r="Q5" s="101">
        <v>217.9</v>
      </c>
      <c r="R5" s="100">
        <v>220.3</v>
      </c>
      <c r="S5" s="102">
        <v>216.8</v>
      </c>
      <c r="T5" s="102">
        <v>217.1</v>
      </c>
      <c r="U5" s="101" t="s">
        <v>92</v>
      </c>
      <c r="V5" s="100">
        <v>220.1</v>
      </c>
      <c r="W5" s="102">
        <v>216.4</v>
      </c>
      <c r="X5" s="102">
        <v>218</v>
      </c>
      <c r="Y5" s="101">
        <v>197.9</v>
      </c>
      <c r="Z5" s="100">
        <v>197.7</v>
      </c>
      <c r="AA5" s="102">
        <v>197.8</v>
      </c>
      <c r="AB5" s="102">
        <v>198</v>
      </c>
      <c r="AC5" s="101">
        <v>197.9</v>
      </c>
      <c r="AD5" s="100">
        <v>198.4</v>
      </c>
      <c r="AE5" s="102">
        <v>204.1</v>
      </c>
      <c r="AF5" s="507">
        <v>203.8</v>
      </c>
      <c r="AG5" s="101">
        <v>203.9</v>
      </c>
      <c r="AH5" s="100">
        <v>202.8</v>
      </c>
      <c r="AI5" s="102">
        <v>200.8</v>
      </c>
      <c r="AJ5" s="507">
        <v>200.8</v>
      </c>
      <c r="AK5" s="101">
        <v>199.7</v>
      </c>
      <c r="AL5" s="100">
        <v>199.5</v>
      </c>
      <c r="AM5" s="102">
        <v>200.5</v>
      </c>
      <c r="AN5" s="507">
        <v>201.1</v>
      </c>
      <c r="AO5" s="101"/>
      <c r="AP5" s="86"/>
      <c r="AQ5" s="86"/>
      <c r="AR5" s="86"/>
      <c r="AS5" s="86"/>
      <c r="AT5" s="86"/>
      <c r="AU5" s="86"/>
      <c r="AV5" s="86"/>
      <c r="AW5" s="86"/>
      <c r="AX5" s="86"/>
      <c r="AY5" s="86"/>
      <c r="AZ5" s="86"/>
      <c r="BA5" s="86"/>
      <c r="BB5" s="86"/>
      <c r="BC5" s="86"/>
      <c r="BD5" s="86"/>
      <c r="BE5" s="86"/>
      <c r="BF5" s="86"/>
      <c r="BG5" s="86"/>
      <c r="BH5" s="86"/>
      <c r="BI5" s="86"/>
      <c r="BJ5" s="86"/>
      <c r="BK5" s="86"/>
      <c r="BL5" s="86"/>
      <c r="BM5" s="86"/>
      <c r="BN5" s="86"/>
      <c r="BO5" s="86"/>
      <c r="BP5" s="86"/>
      <c r="BQ5" s="86"/>
      <c r="BR5" s="86"/>
      <c r="BS5" s="86"/>
      <c r="BT5" s="86"/>
      <c r="BU5" s="86"/>
      <c r="BV5" s="86"/>
    </row>
    <row r="6" spans="1:74" ht="20.25" customHeight="1">
      <c r="A6" s="85" t="s">
        <v>214</v>
      </c>
      <c r="B6" s="85" t="s">
        <v>215</v>
      </c>
      <c r="C6" s="94">
        <v>641.5</v>
      </c>
      <c r="D6" s="95">
        <v>650.20000000000005</v>
      </c>
      <c r="E6" s="96">
        <v>679.6</v>
      </c>
      <c r="F6" s="97">
        <v>679.2</v>
      </c>
      <c r="G6" s="98">
        <v>736.9</v>
      </c>
      <c r="H6" s="98">
        <v>753.1</v>
      </c>
      <c r="I6" s="96">
        <v>787</v>
      </c>
      <c r="J6" s="99">
        <v>825.5</v>
      </c>
      <c r="K6" s="98">
        <v>1026.7</v>
      </c>
      <c r="L6" s="98">
        <v>1091.4000000000001</v>
      </c>
      <c r="M6" s="96">
        <v>1144.3</v>
      </c>
      <c r="N6" s="100">
        <v>1225.5999999999999</v>
      </c>
      <c r="O6" s="98">
        <v>1283.4000000000001</v>
      </c>
      <c r="P6" s="98">
        <v>1333.2</v>
      </c>
      <c r="Q6" s="101">
        <v>1379.9999999999998</v>
      </c>
      <c r="R6" s="100">
        <v>1362.7999999999997</v>
      </c>
      <c r="S6" s="102">
        <v>1320.4999999999998</v>
      </c>
      <c r="T6" s="102">
        <v>1294.9000000000001</v>
      </c>
      <c r="U6" s="101" t="s">
        <v>92</v>
      </c>
      <c r="V6" s="100">
        <v>1377.8000000000002</v>
      </c>
      <c r="W6" s="102">
        <v>1312.7</v>
      </c>
      <c r="X6" s="102">
        <v>1287.5999999999999</v>
      </c>
      <c r="Y6" s="101">
        <v>1237.8999999999999</v>
      </c>
      <c r="Z6" s="100">
        <v>1211.8999999999996</v>
      </c>
      <c r="AA6" s="102">
        <v>1247.6000000000001</v>
      </c>
      <c r="AB6" s="102">
        <v>1264.9000000000001</v>
      </c>
      <c r="AC6" s="101">
        <v>1288.7000000000003</v>
      </c>
      <c r="AD6" s="100">
        <v>1290.3</v>
      </c>
      <c r="AE6" s="102">
        <v>1373.3000000000002</v>
      </c>
      <c r="AF6" s="507">
        <v>1418</v>
      </c>
      <c r="AG6" s="101">
        <v>1441.9</v>
      </c>
      <c r="AH6" s="100">
        <v>1449.6000000000001</v>
      </c>
      <c r="AI6" s="102">
        <v>1461.7</v>
      </c>
      <c r="AJ6" s="507">
        <v>1421.8999999999999</v>
      </c>
      <c r="AK6" s="101">
        <v>1445.5</v>
      </c>
      <c r="AL6" s="100">
        <v>1428.3</v>
      </c>
      <c r="AM6" s="102">
        <v>1434.6000000000001</v>
      </c>
      <c r="AN6" s="507">
        <v>1500.4999999999998</v>
      </c>
      <c r="AO6" s="101"/>
      <c r="AP6" s="86"/>
      <c r="AQ6" s="86"/>
      <c r="AR6" s="86"/>
      <c r="AS6" s="86"/>
      <c r="AT6" s="86"/>
      <c r="AU6" s="86"/>
      <c r="AV6" s="86"/>
      <c r="AW6" s="86"/>
      <c r="AX6" s="86"/>
      <c r="AY6" s="86"/>
      <c r="AZ6" s="86"/>
      <c r="BA6" s="86"/>
      <c r="BB6" s="86"/>
      <c r="BC6" s="86"/>
      <c r="BD6" s="86"/>
      <c r="BE6" s="86"/>
      <c r="BF6" s="86"/>
      <c r="BG6" s="86"/>
      <c r="BH6" s="86"/>
      <c r="BI6" s="86"/>
      <c r="BJ6" s="86"/>
      <c r="BK6" s="86"/>
      <c r="BL6" s="86"/>
      <c r="BM6" s="86"/>
      <c r="BN6" s="86"/>
      <c r="BO6" s="86"/>
      <c r="BP6" s="86"/>
      <c r="BQ6" s="86"/>
      <c r="BR6" s="86"/>
      <c r="BS6" s="86"/>
      <c r="BT6" s="86"/>
      <c r="BU6" s="86"/>
      <c r="BV6" s="86"/>
    </row>
    <row r="7" spans="1:74" ht="20.25" customHeight="1">
      <c r="A7" s="85" t="s">
        <v>122</v>
      </c>
      <c r="B7" s="85" t="s">
        <v>216</v>
      </c>
      <c r="C7" s="94" t="s">
        <v>28</v>
      </c>
      <c r="D7" s="95" t="s">
        <v>28</v>
      </c>
      <c r="E7" s="96" t="s">
        <v>28</v>
      </c>
      <c r="F7" s="97" t="s">
        <v>28</v>
      </c>
      <c r="G7" s="98" t="s">
        <v>28</v>
      </c>
      <c r="H7" s="98" t="s">
        <v>28</v>
      </c>
      <c r="I7" s="96" t="s">
        <v>28</v>
      </c>
      <c r="J7" s="99">
        <v>2403.6999999999998</v>
      </c>
      <c r="K7" s="98">
        <v>2453.8000000000002</v>
      </c>
      <c r="L7" s="98">
        <v>2328.6</v>
      </c>
      <c r="M7" s="96">
        <v>1870.1</v>
      </c>
      <c r="N7" s="100">
        <v>1866.9</v>
      </c>
      <c r="O7" s="98">
        <v>2101.3000000000002</v>
      </c>
      <c r="P7" s="98">
        <v>2048.5</v>
      </c>
      <c r="Q7" s="101">
        <v>1986.6</v>
      </c>
      <c r="R7" s="100">
        <v>1958.2</v>
      </c>
      <c r="S7" s="102">
        <v>1538.1</v>
      </c>
      <c r="T7" s="102">
        <v>1506</v>
      </c>
      <c r="U7" s="101" t="s">
        <v>92</v>
      </c>
      <c r="V7" s="100">
        <v>1924.7</v>
      </c>
      <c r="W7" s="102">
        <v>1520.2</v>
      </c>
      <c r="X7" s="102">
        <v>1515.1999999999998</v>
      </c>
      <c r="Y7" s="101">
        <v>1455.5</v>
      </c>
      <c r="Z7" s="100">
        <v>1421.8000000000002</v>
      </c>
      <c r="AA7" s="102">
        <v>1344.6</v>
      </c>
      <c r="AB7" s="102">
        <v>1256.5</v>
      </c>
      <c r="AC7" s="101">
        <v>1388.8999999999999</v>
      </c>
      <c r="AD7" s="100">
        <v>1318.8</v>
      </c>
      <c r="AE7" s="102">
        <v>1317.6</v>
      </c>
      <c r="AF7" s="507">
        <v>1262.0999999999999</v>
      </c>
      <c r="AG7" s="101" t="s">
        <v>319</v>
      </c>
      <c r="AH7" s="100">
        <v>1353.1</v>
      </c>
      <c r="AI7" s="102">
        <v>1378.1</v>
      </c>
      <c r="AJ7" s="507">
        <v>1420.8</v>
      </c>
      <c r="AK7" s="101">
        <v>1400.1</v>
      </c>
      <c r="AL7" s="100">
        <v>1383.6</v>
      </c>
      <c r="AM7" s="102">
        <v>1399.9</v>
      </c>
      <c r="AN7" s="507">
        <v>1386.6</v>
      </c>
      <c r="AO7" s="101"/>
      <c r="AP7" s="86"/>
      <c r="AQ7" s="86"/>
      <c r="AR7" s="86"/>
      <c r="AS7" s="86"/>
      <c r="AT7" s="86"/>
      <c r="AU7" s="86"/>
      <c r="AV7" s="86"/>
      <c r="AW7" s="86"/>
      <c r="AX7" s="86"/>
      <c r="AY7" s="86"/>
      <c r="AZ7" s="86"/>
      <c r="BA7" s="86"/>
      <c r="BB7" s="86"/>
      <c r="BC7" s="86"/>
      <c r="BD7" s="86"/>
      <c r="BE7" s="86"/>
      <c r="BF7" s="86"/>
      <c r="BG7" s="86"/>
      <c r="BH7" s="86"/>
      <c r="BI7" s="86"/>
      <c r="BJ7" s="86"/>
      <c r="BK7" s="86"/>
      <c r="BL7" s="86"/>
      <c r="BM7" s="86"/>
      <c r="BN7" s="86"/>
      <c r="BO7" s="86"/>
      <c r="BP7" s="86"/>
      <c r="BQ7" s="86"/>
      <c r="BR7" s="86"/>
      <c r="BS7" s="86"/>
      <c r="BT7" s="86"/>
      <c r="BU7" s="86"/>
      <c r="BV7" s="86"/>
    </row>
    <row r="8" spans="1:74" ht="20.25" customHeight="1">
      <c r="A8" s="85" t="s">
        <v>123</v>
      </c>
      <c r="B8" s="85" t="s">
        <v>217</v>
      </c>
      <c r="C8" s="94">
        <v>312.8</v>
      </c>
      <c r="D8" s="95">
        <v>316.2</v>
      </c>
      <c r="E8" s="96">
        <v>60.1</v>
      </c>
      <c r="F8" s="97">
        <v>71.7</v>
      </c>
      <c r="G8" s="98">
        <v>55.3</v>
      </c>
      <c r="H8" s="98">
        <v>62.2</v>
      </c>
      <c r="I8" s="96">
        <v>63.4</v>
      </c>
      <c r="J8" s="99">
        <v>66.400000000000006</v>
      </c>
      <c r="K8" s="98">
        <v>75.900000000000006</v>
      </c>
      <c r="L8" s="98">
        <v>79.900000000000006</v>
      </c>
      <c r="M8" s="96">
        <v>74.8</v>
      </c>
      <c r="N8" s="100">
        <v>96.9</v>
      </c>
      <c r="O8" s="98">
        <v>107.7</v>
      </c>
      <c r="P8" s="98">
        <v>102.5</v>
      </c>
      <c r="Q8" s="101">
        <v>110.3</v>
      </c>
      <c r="R8" s="100">
        <v>136.9</v>
      </c>
      <c r="S8" s="102">
        <v>157.1</v>
      </c>
      <c r="T8" s="102">
        <v>169.7</v>
      </c>
      <c r="U8" s="101" t="s">
        <v>92</v>
      </c>
      <c r="V8" s="100">
        <v>138.30000000000001</v>
      </c>
      <c r="W8" s="102">
        <v>156.30000000000001</v>
      </c>
      <c r="X8" s="102">
        <v>174</v>
      </c>
      <c r="Y8" s="101">
        <v>152.1</v>
      </c>
      <c r="Z8" s="100">
        <v>162.30000000000001</v>
      </c>
      <c r="AA8" s="102">
        <v>204.7</v>
      </c>
      <c r="AB8" s="102">
        <v>209.9</v>
      </c>
      <c r="AC8" s="101">
        <v>175.5</v>
      </c>
      <c r="AD8" s="100">
        <v>190.3</v>
      </c>
      <c r="AE8" s="102">
        <v>179.8</v>
      </c>
      <c r="AF8" s="507">
        <v>172.5</v>
      </c>
      <c r="AG8" s="101">
        <v>184.1</v>
      </c>
      <c r="AH8" s="100">
        <v>193.3</v>
      </c>
      <c r="AI8" s="102">
        <v>195.8</v>
      </c>
      <c r="AJ8" s="507">
        <v>219.1</v>
      </c>
      <c r="AK8" s="101">
        <v>248.7</v>
      </c>
      <c r="AL8" s="100">
        <v>270.2</v>
      </c>
      <c r="AM8" s="102">
        <v>410.64</v>
      </c>
      <c r="AN8" s="507">
        <v>382.1</v>
      </c>
      <c r="AO8" s="101"/>
      <c r="AP8" s="86"/>
      <c r="AQ8" s="86"/>
      <c r="AR8" s="86"/>
      <c r="AS8" s="86"/>
      <c r="AT8" s="86"/>
      <c r="AU8" s="86"/>
      <c r="AV8" s="86"/>
      <c r="AW8" s="86"/>
      <c r="AX8" s="86"/>
      <c r="AY8" s="86"/>
      <c r="AZ8" s="86"/>
      <c r="BA8" s="86"/>
      <c r="BB8" s="86"/>
      <c r="BC8" s="86"/>
      <c r="BD8" s="86"/>
      <c r="BE8" s="86"/>
      <c r="BF8" s="86"/>
      <c r="BG8" s="86"/>
      <c r="BH8" s="86"/>
      <c r="BI8" s="86"/>
      <c r="BJ8" s="86"/>
      <c r="BK8" s="86"/>
      <c r="BL8" s="86"/>
      <c r="BM8" s="86"/>
      <c r="BN8" s="86"/>
      <c r="BO8" s="86"/>
      <c r="BP8" s="86"/>
      <c r="BQ8" s="86"/>
      <c r="BR8" s="86"/>
      <c r="BS8" s="86"/>
      <c r="BT8" s="86"/>
      <c r="BU8" s="86"/>
      <c r="BV8" s="86"/>
    </row>
    <row r="9" spans="1:74" ht="20.25" customHeight="1">
      <c r="A9" s="85" t="s">
        <v>124</v>
      </c>
      <c r="B9" s="85" t="s">
        <v>125</v>
      </c>
      <c r="C9" s="94" t="s">
        <v>28</v>
      </c>
      <c r="D9" s="95">
        <v>15</v>
      </c>
      <c r="E9" s="96" t="s">
        <v>28</v>
      </c>
      <c r="F9" s="97" t="s">
        <v>28</v>
      </c>
      <c r="G9" s="98" t="s">
        <v>28</v>
      </c>
      <c r="H9" s="98" t="s">
        <v>28</v>
      </c>
      <c r="I9" s="96" t="s">
        <v>28</v>
      </c>
      <c r="J9" s="99" t="s">
        <v>28</v>
      </c>
      <c r="K9" s="98">
        <v>1.9</v>
      </c>
      <c r="L9" s="98" t="s">
        <v>28</v>
      </c>
      <c r="M9" s="96" t="s">
        <v>28</v>
      </c>
      <c r="N9" s="100">
        <v>150.1</v>
      </c>
      <c r="O9" s="98">
        <v>79.2</v>
      </c>
      <c r="P9" s="98">
        <v>83.4</v>
      </c>
      <c r="Q9" s="101">
        <v>78</v>
      </c>
      <c r="R9" s="100">
        <v>142.80000000000001</v>
      </c>
      <c r="S9" s="102" t="s">
        <v>28</v>
      </c>
      <c r="T9" s="102">
        <v>0</v>
      </c>
      <c r="U9" s="101" t="s">
        <v>92</v>
      </c>
      <c r="V9" s="100">
        <v>114.9</v>
      </c>
      <c r="W9" s="102">
        <v>0</v>
      </c>
      <c r="X9" s="102">
        <v>0</v>
      </c>
      <c r="Y9" s="101">
        <v>0</v>
      </c>
      <c r="Z9" s="100">
        <v>0</v>
      </c>
      <c r="AA9" s="102">
        <v>0</v>
      </c>
      <c r="AB9" s="102">
        <v>0</v>
      </c>
      <c r="AC9" s="101">
        <v>0</v>
      </c>
      <c r="AD9" s="100">
        <v>0</v>
      </c>
      <c r="AE9" s="102">
        <v>0</v>
      </c>
      <c r="AF9" s="507">
        <v>0</v>
      </c>
      <c r="AG9" s="101" t="s">
        <v>316</v>
      </c>
      <c r="AH9" s="100">
        <v>0</v>
      </c>
      <c r="AI9" s="102">
        <v>0</v>
      </c>
      <c r="AJ9" s="507">
        <v>0</v>
      </c>
      <c r="AK9" s="101">
        <v>0</v>
      </c>
      <c r="AL9" s="100"/>
      <c r="AM9" s="102">
        <v>0</v>
      </c>
      <c r="AN9" s="507"/>
      <c r="AO9" s="101"/>
      <c r="AP9" s="86"/>
      <c r="AQ9" s="86"/>
      <c r="AR9" s="86"/>
      <c r="AS9" s="86"/>
      <c r="AT9" s="86"/>
      <c r="AU9" s="86"/>
      <c r="AV9" s="86"/>
      <c r="AW9" s="86"/>
      <c r="AX9" s="86"/>
      <c r="AY9" s="86"/>
      <c r="AZ9" s="86"/>
      <c r="BA9" s="86"/>
      <c r="BB9" s="86"/>
      <c r="BC9" s="86"/>
      <c r="BD9" s="86"/>
      <c r="BE9" s="86"/>
      <c r="BF9" s="86"/>
      <c r="BG9" s="86"/>
      <c r="BH9" s="86"/>
      <c r="BI9" s="86"/>
      <c r="BJ9" s="86"/>
      <c r="BK9" s="86"/>
      <c r="BL9" s="86"/>
      <c r="BM9" s="86"/>
      <c r="BN9" s="86"/>
      <c r="BO9" s="86"/>
      <c r="BP9" s="86"/>
      <c r="BQ9" s="86"/>
      <c r="BR9" s="86"/>
      <c r="BS9" s="86"/>
      <c r="BT9" s="86"/>
      <c r="BU9" s="86"/>
      <c r="BV9" s="86"/>
    </row>
    <row r="10" spans="1:74" ht="20.25" customHeight="1" thickBot="1">
      <c r="A10" s="169" t="s">
        <v>127</v>
      </c>
      <c r="B10" s="169" t="s">
        <v>128</v>
      </c>
      <c r="C10" s="170">
        <v>1172.3</v>
      </c>
      <c r="D10" s="171">
        <v>1199.7</v>
      </c>
      <c r="E10" s="172">
        <v>1027.0999999999999</v>
      </c>
      <c r="F10" s="173">
        <v>1038.3</v>
      </c>
      <c r="G10" s="174">
        <v>1087.5999999999999</v>
      </c>
      <c r="H10" s="174">
        <v>1114.5</v>
      </c>
      <c r="I10" s="172">
        <v>1154.1000000000001</v>
      </c>
      <c r="J10" s="175">
        <v>3602.2999999999997</v>
      </c>
      <c r="K10" s="174">
        <v>3921.9000000000005</v>
      </c>
      <c r="L10" s="174">
        <v>3907.1</v>
      </c>
      <c r="M10" s="172">
        <v>3574.1</v>
      </c>
      <c r="N10" s="176">
        <v>4002.7</v>
      </c>
      <c r="O10" s="177">
        <v>4316.3999999999996</v>
      </c>
      <c r="P10" s="178">
        <v>4326.1000000000004</v>
      </c>
      <c r="Q10" s="179">
        <v>4210.5</v>
      </c>
      <c r="R10" s="176">
        <v>4217.2</v>
      </c>
      <c r="S10" s="177">
        <v>3568</v>
      </c>
      <c r="T10" s="177">
        <v>3521.6</v>
      </c>
      <c r="U10" s="179" t="s">
        <v>92</v>
      </c>
      <c r="V10" s="176">
        <v>4169.7</v>
      </c>
      <c r="W10" s="177">
        <v>3541.7000000000003</v>
      </c>
      <c r="X10" s="177">
        <v>3528.5</v>
      </c>
      <c r="Y10" s="179">
        <v>3375.1</v>
      </c>
      <c r="Z10" s="176">
        <v>3323.0000000000005</v>
      </c>
      <c r="AA10" s="177">
        <v>3321.4999999999995</v>
      </c>
      <c r="AB10" s="177">
        <v>3251.7</v>
      </c>
      <c r="AC10" s="179">
        <v>3393.7999999999993</v>
      </c>
      <c r="AD10" s="176">
        <v>3343.7</v>
      </c>
      <c r="AE10" s="177">
        <v>3439</v>
      </c>
      <c r="AF10" s="508">
        <v>3419.8999999999996</v>
      </c>
      <c r="AG10" s="179" t="s">
        <v>317</v>
      </c>
      <c r="AH10" s="176">
        <v>3609.6</v>
      </c>
      <c r="AI10" s="177">
        <v>3662.6</v>
      </c>
      <c r="AJ10" s="508">
        <v>3701.5999999999995</v>
      </c>
      <c r="AK10" s="179">
        <v>3740.5</v>
      </c>
      <c r="AL10" s="176">
        <v>3739</v>
      </c>
      <c r="AM10" s="177">
        <v>3940.74</v>
      </c>
      <c r="AN10" s="508">
        <v>3998.2</v>
      </c>
      <c r="AO10" s="179"/>
      <c r="AP10" s="86"/>
      <c r="AQ10" s="86"/>
      <c r="AR10" s="86"/>
      <c r="AS10" s="86"/>
      <c r="AT10" s="86"/>
      <c r="AU10" s="86"/>
      <c r="AV10" s="86"/>
      <c r="AW10" s="86"/>
      <c r="AX10" s="86"/>
      <c r="AY10" s="86"/>
      <c r="AZ10" s="86"/>
      <c r="BA10" s="86"/>
      <c r="BB10" s="86"/>
      <c r="BC10" s="86"/>
      <c r="BD10" s="86"/>
      <c r="BE10" s="86"/>
      <c r="BF10" s="86"/>
      <c r="BG10" s="86"/>
      <c r="BH10" s="86"/>
      <c r="BI10" s="86"/>
      <c r="BJ10" s="86"/>
      <c r="BK10" s="86"/>
      <c r="BL10" s="86"/>
      <c r="BM10" s="86"/>
      <c r="BN10" s="86"/>
      <c r="BO10" s="86"/>
      <c r="BP10" s="86"/>
      <c r="BQ10" s="86"/>
      <c r="BR10" s="86"/>
      <c r="BS10" s="86"/>
      <c r="BT10" s="86"/>
      <c r="BU10" s="86"/>
      <c r="BV10" s="86"/>
    </row>
    <row r="11" spans="1:74" ht="20.25" customHeight="1" thickTop="1">
      <c r="A11" s="85" t="s">
        <v>129</v>
      </c>
      <c r="B11" s="85" t="s">
        <v>130</v>
      </c>
      <c r="C11" s="94">
        <v>842.1</v>
      </c>
      <c r="D11" s="95">
        <v>982.2</v>
      </c>
      <c r="E11" s="96">
        <v>1019.7</v>
      </c>
      <c r="F11" s="97">
        <v>1285.0999999999999</v>
      </c>
      <c r="G11" s="98">
        <v>1359.9</v>
      </c>
      <c r="H11" s="98">
        <v>1509.4</v>
      </c>
      <c r="I11" s="96">
        <v>1417.7</v>
      </c>
      <c r="J11" s="99">
        <v>1716.9</v>
      </c>
      <c r="K11" s="98">
        <v>1845.3</v>
      </c>
      <c r="L11" s="98">
        <v>1944</v>
      </c>
      <c r="M11" s="96">
        <v>1806.1</v>
      </c>
      <c r="N11" s="100">
        <v>2079.8000000000002</v>
      </c>
      <c r="O11" s="98">
        <v>2012.1</v>
      </c>
      <c r="P11" s="98">
        <v>2164.4</v>
      </c>
      <c r="Q11" s="101">
        <v>1942.3</v>
      </c>
      <c r="R11" s="100">
        <v>2370.6</v>
      </c>
      <c r="S11" s="102">
        <v>1994.6</v>
      </c>
      <c r="T11" s="102">
        <v>2134.1</v>
      </c>
      <c r="U11" s="101" t="s">
        <v>92</v>
      </c>
      <c r="V11" s="100">
        <v>2379.1</v>
      </c>
      <c r="W11" s="102">
        <v>2042.4</v>
      </c>
      <c r="X11" s="102">
        <v>2088.5</v>
      </c>
      <c r="Y11" s="101">
        <v>2192.6</v>
      </c>
      <c r="Z11" s="100">
        <v>2429.2000000000003</v>
      </c>
      <c r="AA11" s="102">
        <v>2456.9</v>
      </c>
      <c r="AB11" s="102">
        <v>2538</v>
      </c>
      <c r="AC11" s="101">
        <v>2625.8</v>
      </c>
      <c r="AD11" s="100">
        <v>2729.3999999999996</v>
      </c>
      <c r="AE11" s="102">
        <v>2950.7</v>
      </c>
      <c r="AF11" s="507">
        <v>3121.4</v>
      </c>
      <c r="AG11" s="101" t="s">
        <v>318</v>
      </c>
      <c r="AH11" s="100">
        <v>2914.3</v>
      </c>
      <c r="AI11" s="102">
        <v>2742.2</v>
      </c>
      <c r="AJ11" s="507">
        <v>3078.4</v>
      </c>
      <c r="AK11" s="101">
        <v>2911.6</v>
      </c>
      <c r="AL11" s="100">
        <v>3272</v>
      </c>
      <c r="AM11" s="102">
        <v>3577</v>
      </c>
      <c r="AN11" s="507">
        <v>3801.2</v>
      </c>
      <c r="AO11" s="101"/>
      <c r="AP11" s="86"/>
      <c r="AQ11" s="86"/>
      <c r="AR11" s="86"/>
      <c r="AS11" s="86"/>
      <c r="AT11" s="86"/>
      <c r="AU11" s="86"/>
      <c r="AV11" s="86"/>
      <c r="AW11" s="86"/>
      <c r="AX11" s="86"/>
      <c r="AY11" s="86"/>
      <c r="AZ11" s="86"/>
      <c r="BA11" s="86"/>
      <c r="BB11" s="86"/>
      <c r="BC11" s="86"/>
      <c r="BD11" s="86"/>
      <c r="BE11" s="86"/>
      <c r="BF11" s="86"/>
      <c r="BG11" s="86"/>
      <c r="BH11" s="86"/>
      <c r="BI11" s="86"/>
      <c r="BJ11" s="86"/>
      <c r="BK11" s="86"/>
      <c r="BL11" s="86"/>
      <c r="BM11" s="86"/>
      <c r="BN11" s="86"/>
      <c r="BO11" s="86"/>
      <c r="BP11" s="86"/>
      <c r="BQ11" s="86"/>
      <c r="BR11" s="86"/>
      <c r="BS11" s="86"/>
      <c r="BT11" s="86"/>
      <c r="BU11" s="86"/>
      <c r="BV11" s="86"/>
    </row>
    <row r="12" spans="1:74" ht="20.25" customHeight="1">
      <c r="A12" s="85" t="s">
        <v>218</v>
      </c>
      <c r="B12" s="85" t="s">
        <v>126</v>
      </c>
      <c r="C12" s="94">
        <v>93.4</v>
      </c>
      <c r="D12" s="95">
        <v>88.9</v>
      </c>
      <c r="E12" s="96">
        <v>89.3</v>
      </c>
      <c r="F12" s="97">
        <v>120.4</v>
      </c>
      <c r="G12" s="98">
        <v>121.9</v>
      </c>
      <c r="H12" s="98">
        <v>35.200000000000003</v>
      </c>
      <c r="I12" s="96">
        <v>95.7</v>
      </c>
      <c r="J12" s="99">
        <v>139.19999999999999</v>
      </c>
      <c r="K12" s="98">
        <v>120.3</v>
      </c>
      <c r="L12" s="98">
        <v>132.69999999999999</v>
      </c>
      <c r="M12" s="96">
        <v>124.4</v>
      </c>
      <c r="N12" s="100">
        <v>198.3</v>
      </c>
      <c r="O12" s="98">
        <v>173.3</v>
      </c>
      <c r="P12" s="98">
        <v>220.40000000000003</v>
      </c>
      <c r="Q12" s="101">
        <v>209.3</v>
      </c>
      <c r="R12" s="100">
        <v>82.899999999999991</v>
      </c>
      <c r="S12" s="102">
        <v>145.80000000000001</v>
      </c>
      <c r="T12" s="102">
        <v>236.1</v>
      </c>
      <c r="U12" s="101" t="s">
        <v>92</v>
      </c>
      <c r="V12" s="100">
        <v>190.7</v>
      </c>
      <c r="W12" s="102">
        <v>174</v>
      </c>
      <c r="X12" s="102">
        <v>193.2</v>
      </c>
      <c r="Y12" s="101">
        <v>172.3</v>
      </c>
      <c r="Z12" s="100">
        <v>203.3</v>
      </c>
      <c r="AA12" s="102">
        <v>163.69999999999999</v>
      </c>
      <c r="AB12" s="102">
        <v>302.60000000000002</v>
      </c>
      <c r="AC12" s="101">
        <v>226.1</v>
      </c>
      <c r="AD12" s="100">
        <v>250.6</v>
      </c>
      <c r="AE12" s="102">
        <v>165.8</v>
      </c>
      <c r="AF12" s="507">
        <v>199</v>
      </c>
      <c r="AG12" s="101">
        <v>143.80000000000001</v>
      </c>
      <c r="AH12" s="100">
        <v>148.19999999999999</v>
      </c>
      <c r="AI12" s="102">
        <v>131.5</v>
      </c>
      <c r="AJ12" s="507">
        <v>187.2</v>
      </c>
      <c r="AK12" s="101">
        <v>194.1</v>
      </c>
      <c r="AL12" s="100">
        <v>252.2</v>
      </c>
      <c r="AM12" s="102">
        <v>252.1</v>
      </c>
      <c r="AN12" s="507">
        <v>346.6</v>
      </c>
      <c r="AO12" s="101"/>
      <c r="AP12" s="86"/>
      <c r="AQ12" s="86"/>
      <c r="AR12" s="86"/>
      <c r="AS12" s="86"/>
      <c r="AT12" s="86"/>
      <c r="AU12" s="86"/>
      <c r="AV12" s="86"/>
      <c r="AW12" s="86"/>
      <c r="AX12" s="86"/>
      <c r="AY12" s="86"/>
      <c r="AZ12" s="86"/>
      <c r="BA12" s="86"/>
      <c r="BB12" s="86"/>
      <c r="BC12" s="86"/>
      <c r="BD12" s="86"/>
      <c r="BE12" s="86"/>
      <c r="BF12" s="86"/>
      <c r="BG12" s="86"/>
      <c r="BH12" s="86"/>
      <c r="BI12" s="86"/>
      <c r="BJ12" s="86"/>
      <c r="BK12" s="86"/>
      <c r="BL12" s="86"/>
      <c r="BM12" s="86"/>
      <c r="BN12" s="86"/>
      <c r="BO12" s="86"/>
      <c r="BP12" s="86"/>
      <c r="BQ12" s="86"/>
      <c r="BR12" s="86"/>
      <c r="BS12" s="86"/>
      <c r="BT12" s="86"/>
      <c r="BU12" s="86"/>
      <c r="BV12" s="86"/>
    </row>
    <row r="13" spans="1:74" ht="20.25" customHeight="1">
      <c r="A13" s="85" t="s">
        <v>124</v>
      </c>
      <c r="B13" s="85" t="s">
        <v>125</v>
      </c>
      <c r="C13" s="94">
        <v>15.1</v>
      </c>
      <c r="D13" s="95">
        <v>0.1</v>
      </c>
      <c r="E13" s="96">
        <v>11.1</v>
      </c>
      <c r="F13" s="97">
        <v>11.1</v>
      </c>
      <c r="G13" s="98">
        <v>11.1</v>
      </c>
      <c r="H13" s="98">
        <v>11.2</v>
      </c>
      <c r="I13" s="96">
        <v>9.1</v>
      </c>
      <c r="J13" s="99" t="s">
        <v>28</v>
      </c>
      <c r="K13" s="98">
        <v>11.2</v>
      </c>
      <c r="L13" s="98">
        <v>9.1</v>
      </c>
      <c r="M13" s="96">
        <v>37.700000000000003</v>
      </c>
      <c r="N13" s="100">
        <v>0.2</v>
      </c>
      <c r="O13" s="98" t="s">
        <v>28</v>
      </c>
      <c r="P13" s="98" t="s">
        <v>28</v>
      </c>
      <c r="Q13" s="101">
        <v>4.5999999999999996</v>
      </c>
      <c r="R13" s="100">
        <v>3.1</v>
      </c>
      <c r="S13" s="102" t="s">
        <v>28</v>
      </c>
      <c r="T13" s="102">
        <v>0</v>
      </c>
      <c r="U13" s="101" t="s">
        <v>92</v>
      </c>
      <c r="V13" s="100">
        <v>3.7</v>
      </c>
      <c r="W13" s="102">
        <v>0</v>
      </c>
      <c r="X13" s="102">
        <v>0</v>
      </c>
      <c r="Y13" s="101">
        <v>0</v>
      </c>
      <c r="Z13" s="100">
        <v>0</v>
      </c>
      <c r="AA13" s="102">
        <v>0</v>
      </c>
      <c r="AB13" s="102"/>
      <c r="AC13" s="101">
        <v>0</v>
      </c>
      <c r="AD13" s="100">
        <v>0</v>
      </c>
      <c r="AE13" s="102">
        <v>0</v>
      </c>
      <c r="AF13" s="507">
        <v>0</v>
      </c>
      <c r="AG13" s="101" t="s">
        <v>316</v>
      </c>
      <c r="AH13" s="100">
        <v>0</v>
      </c>
      <c r="AI13" s="102">
        <v>0</v>
      </c>
      <c r="AJ13" s="507">
        <v>0</v>
      </c>
      <c r="AK13" s="101">
        <v>0</v>
      </c>
      <c r="AL13" s="100">
        <v>0</v>
      </c>
      <c r="AM13" s="102">
        <v>0</v>
      </c>
      <c r="AN13" s="507"/>
      <c r="AO13" s="101"/>
      <c r="AP13" s="86"/>
      <c r="AQ13" s="86"/>
      <c r="AR13" s="86"/>
      <c r="AS13" s="86"/>
      <c r="AT13" s="86"/>
      <c r="AU13" s="86"/>
      <c r="AV13" s="86"/>
      <c r="AW13" s="86"/>
      <c r="AX13" s="86"/>
      <c r="AY13" s="86"/>
      <c r="AZ13" s="86"/>
      <c r="BA13" s="86"/>
      <c r="BB13" s="86"/>
      <c r="BC13" s="86"/>
      <c r="BD13" s="86"/>
      <c r="BE13" s="86"/>
      <c r="BF13" s="86"/>
      <c r="BG13" s="86"/>
      <c r="BH13" s="86"/>
      <c r="BI13" s="86"/>
      <c r="BJ13" s="86"/>
      <c r="BK13" s="86"/>
      <c r="BL13" s="86"/>
      <c r="BM13" s="86"/>
      <c r="BN13" s="86"/>
      <c r="BO13" s="86"/>
      <c r="BP13" s="86"/>
      <c r="BQ13" s="86"/>
      <c r="BR13" s="86"/>
      <c r="BS13" s="86"/>
      <c r="BT13" s="86"/>
      <c r="BU13" s="86"/>
      <c r="BV13" s="86"/>
    </row>
    <row r="14" spans="1:74" ht="20.25" customHeight="1">
      <c r="A14" s="85" t="s">
        <v>131</v>
      </c>
      <c r="B14" s="85" t="s">
        <v>132</v>
      </c>
      <c r="C14" s="94">
        <v>38.200000000000003</v>
      </c>
      <c r="D14" s="95">
        <v>148.30000000000001</v>
      </c>
      <c r="E14" s="96">
        <v>98.2</v>
      </c>
      <c r="F14" s="97">
        <v>117.5</v>
      </c>
      <c r="G14" s="98">
        <v>140.69999999999999</v>
      </c>
      <c r="H14" s="98">
        <v>58</v>
      </c>
      <c r="I14" s="96">
        <v>155.4</v>
      </c>
      <c r="J14" s="99">
        <v>96</v>
      </c>
      <c r="K14" s="98">
        <v>318.2</v>
      </c>
      <c r="L14" s="98">
        <v>302.5</v>
      </c>
      <c r="M14" s="96">
        <v>306.39999999999998</v>
      </c>
      <c r="N14" s="100">
        <v>372</v>
      </c>
      <c r="O14" s="98">
        <v>177.2</v>
      </c>
      <c r="P14" s="98">
        <v>183.2</v>
      </c>
      <c r="Q14" s="101">
        <v>233</v>
      </c>
      <c r="R14" s="100">
        <v>286</v>
      </c>
      <c r="S14" s="102">
        <v>231.5</v>
      </c>
      <c r="T14" s="102">
        <v>198.9</v>
      </c>
      <c r="U14" s="101" t="s">
        <v>92</v>
      </c>
      <c r="V14" s="100">
        <v>235.2</v>
      </c>
      <c r="W14" s="102">
        <v>256.10000000000002</v>
      </c>
      <c r="X14" s="102">
        <v>272.8</v>
      </c>
      <c r="Y14" s="101">
        <v>234.1</v>
      </c>
      <c r="Z14" s="100">
        <v>238</v>
      </c>
      <c r="AA14" s="102">
        <v>299.2</v>
      </c>
      <c r="AB14" s="102">
        <v>342.9</v>
      </c>
      <c r="AC14" s="101">
        <v>293.40000000000003</v>
      </c>
      <c r="AD14" s="100">
        <v>378.7</v>
      </c>
      <c r="AE14" s="102">
        <v>278.39999999999998</v>
      </c>
      <c r="AF14" s="507">
        <v>271.2</v>
      </c>
      <c r="AG14" s="101">
        <v>178.7</v>
      </c>
      <c r="AH14" s="100">
        <v>215.20000000000002</v>
      </c>
      <c r="AI14" s="102">
        <v>232.1</v>
      </c>
      <c r="AJ14" s="507">
        <v>273.10000000000002</v>
      </c>
      <c r="AK14" s="101">
        <v>183</v>
      </c>
      <c r="AL14" s="100">
        <v>200.3</v>
      </c>
      <c r="AM14" s="102">
        <v>231.5</v>
      </c>
      <c r="AN14" s="507">
        <v>363.2</v>
      </c>
      <c r="AO14" s="101"/>
      <c r="AP14" s="86"/>
      <c r="AQ14" s="86"/>
      <c r="AR14" s="86"/>
      <c r="AS14" s="86"/>
      <c r="AT14" s="86"/>
      <c r="AU14" s="86"/>
      <c r="AV14" s="86"/>
      <c r="AW14" s="86"/>
      <c r="AX14" s="86"/>
      <c r="AY14" s="86"/>
      <c r="AZ14" s="86"/>
      <c r="BA14" s="86"/>
      <c r="BB14" s="86"/>
      <c r="BC14" s="86"/>
      <c r="BD14" s="86"/>
      <c r="BE14" s="86"/>
      <c r="BF14" s="86"/>
      <c r="BG14" s="86"/>
      <c r="BH14" s="86"/>
      <c r="BI14" s="86"/>
      <c r="BJ14" s="86"/>
      <c r="BK14" s="86"/>
      <c r="BL14" s="86"/>
      <c r="BM14" s="86"/>
      <c r="BN14" s="86"/>
      <c r="BO14" s="86"/>
      <c r="BP14" s="86"/>
      <c r="BQ14" s="86"/>
      <c r="BR14" s="86"/>
      <c r="BS14" s="86"/>
      <c r="BT14" s="86"/>
      <c r="BU14" s="86"/>
      <c r="BV14" s="86"/>
    </row>
    <row r="15" spans="1:74" ht="20.25" customHeight="1">
      <c r="A15" s="85" t="s">
        <v>133</v>
      </c>
      <c r="B15" s="85" t="s">
        <v>134</v>
      </c>
      <c r="C15" s="94">
        <v>254.3</v>
      </c>
      <c r="D15" s="95">
        <v>160.19999999999999</v>
      </c>
      <c r="E15" s="96">
        <v>143.4</v>
      </c>
      <c r="F15" s="97">
        <v>302.3</v>
      </c>
      <c r="G15" s="98">
        <v>328.6</v>
      </c>
      <c r="H15" s="98">
        <v>104.5</v>
      </c>
      <c r="I15" s="96">
        <v>511.6</v>
      </c>
      <c r="J15" s="99">
        <v>133.80000000000001</v>
      </c>
      <c r="K15" s="98">
        <v>709.2</v>
      </c>
      <c r="L15" s="98">
        <v>476</v>
      </c>
      <c r="M15" s="96">
        <v>375.8</v>
      </c>
      <c r="N15" s="100">
        <v>210.7</v>
      </c>
      <c r="O15" s="98">
        <v>512.4</v>
      </c>
      <c r="P15" s="98">
        <v>467.3</v>
      </c>
      <c r="Q15" s="101">
        <v>542.6</v>
      </c>
      <c r="R15" s="100">
        <v>225.4</v>
      </c>
      <c r="S15" s="102">
        <v>505.6</v>
      </c>
      <c r="T15" s="102">
        <v>422.3</v>
      </c>
      <c r="U15" s="101" t="s">
        <v>92</v>
      </c>
      <c r="V15" s="100">
        <v>189.7</v>
      </c>
      <c r="W15" s="102">
        <v>390.3</v>
      </c>
      <c r="X15" s="102">
        <v>447.5</v>
      </c>
      <c r="Y15" s="101">
        <v>458.7</v>
      </c>
      <c r="Z15" s="100">
        <v>304.5</v>
      </c>
      <c r="AA15" s="102">
        <v>792.2</v>
      </c>
      <c r="AB15" s="102">
        <v>883.4</v>
      </c>
      <c r="AC15" s="101">
        <v>941.1</v>
      </c>
      <c r="AD15" s="100">
        <v>493.8</v>
      </c>
      <c r="AE15" s="102">
        <v>710.1</v>
      </c>
      <c r="AF15" s="507">
        <v>475.6</v>
      </c>
      <c r="AG15" s="101">
        <v>395.4</v>
      </c>
      <c r="AH15" s="100">
        <v>394.4</v>
      </c>
      <c r="AI15" s="102">
        <v>423.1</v>
      </c>
      <c r="AJ15" s="507">
        <v>570.29999999999995</v>
      </c>
      <c r="AK15" s="101">
        <v>266.5</v>
      </c>
      <c r="AL15" s="100">
        <v>395.5</v>
      </c>
      <c r="AM15" s="102">
        <v>343.4</v>
      </c>
      <c r="AN15" s="507">
        <v>686.4</v>
      </c>
      <c r="AO15" s="101"/>
      <c r="AP15" s="86"/>
      <c r="AQ15" s="86"/>
      <c r="AR15" s="86"/>
      <c r="AS15" s="86"/>
      <c r="AT15" s="86"/>
      <c r="AU15" s="86"/>
      <c r="AV15" s="86"/>
      <c r="AW15" s="86"/>
      <c r="AX15" s="86"/>
      <c r="AY15" s="86"/>
      <c r="AZ15" s="86"/>
      <c r="BA15" s="86"/>
      <c r="BB15" s="86"/>
      <c r="BC15" s="86"/>
      <c r="BD15" s="86"/>
      <c r="BE15" s="86"/>
      <c r="BF15" s="86"/>
      <c r="BG15" s="86"/>
      <c r="BH15" s="86"/>
      <c r="BI15" s="86"/>
      <c r="BJ15" s="86"/>
      <c r="BK15" s="86"/>
      <c r="BL15" s="86"/>
      <c r="BM15" s="86"/>
      <c r="BN15" s="86"/>
      <c r="BO15" s="86"/>
      <c r="BP15" s="86"/>
      <c r="BQ15" s="86"/>
      <c r="BR15" s="86"/>
      <c r="BS15" s="86"/>
      <c r="BT15" s="86"/>
      <c r="BU15" s="86"/>
      <c r="BV15" s="86"/>
    </row>
    <row r="16" spans="1:74" ht="20.25" customHeight="1" thickBot="1">
      <c r="A16" s="169" t="s">
        <v>135</v>
      </c>
      <c r="B16" s="169" t="s">
        <v>136</v>
      </c>
      <c r="C16" s="170">
        <v>1261.1000000000001</v>
      </c>
      <c r="D16" s="171">
        <v>1397.2</v>
      </c>
      <c r="E16" s="172">
        <v>1373.8</v>
      </c>
      <c r="F16" s="173">
        <v>1861.8</v>
      </c>
      <c r="G16" s="174">
        <v>1989.8000000000002</v>
      </c>
      <c r="H16" s="174">
        <v>1739.8000000000002</v>
      </c>
      <c r="I16" s="172">
        <v>2215.8000000000002</v>
      </c>
      <c r="J16" s="175">
        <v>2120.7000000000003</v>
      </c>
      <c r="K16" s="174">
        <v>3026.8</v>
      </c>
      <c r="L16" s="174">
        <v>2870.7999999999997</v>
      </c>
      <c r="M16" s="172">
        <v>2658.5000000000005</v>
      </c>
      <c r="N16" s="176">
        <v>2908</v>
      </c>
      <c r="O16" s="177">
        <v>2876.9</v>
      </c>
      <c r="P16" s="178">
        <v>3042.8</v>
      </c>
      <c r="Q16" s="179">
        <v>2933.2</v>
      </c>
      <c r="R16" s="176">
        <v>2997.5</v>
      </c>
      <c r="S16" s="177">
        <v>2886.6</v>
      </c>
      <c r="T16" s="177">
        <v>-2738.8</v>
      </c>
      <c r="U16" s="179" t="s">
        <v>92</v>
      </c>
      <c r="V16" s="176">
        <v>3022.6999999999994</v>
      </c>
      <c r="W16" s="177">
        <v>2871.1000000000004</v>
      </c>
      <c r="X16" s="177">
        <v>3024.2</v>
      </c>
      <c r="Y16" s="179">
        <v>3061.4</v>
      </c>
      <c r="Z16" s="176">
        <v>3181.1000000000008</v>
      </c>
      <c r="AA16" s="177">
        <v>3724.7</v>
      </c>
      <c r="AB16" s="177">
        <v>4081.3</v>
      </c>
      <c r="AC16" s="179">
        <v>4106.9000000000005</v>
      </c>
      <c r="AD16" s="176">
        <v>3870.6999999999994</v>
      </c>
      <c r="AE16" s="177">
        <v>4145.5</v>
      </c>
      <c r="AF16" s="508">
        <v>4116.5</v>
      </c>
      <c r="AG16" s="179" t="s">
        <v>324</v>
      </c>
      <c r="AH16" s="176">
        <v>3735.2</v>
      </c>
      <c r="AI16" s="177">
        <v>3597.9</v>
      </c>
      <c r="AJ16" s="508">
        <v>4152</v>
      </c>
      <c r="AK16" s="179">
        <v>3580.8999999999996</v>
      </c>
      <c r="AL16" s="176">
        <v>4149.1000000000004</v>
      </c>
      <c r="AM16" s="177">
        <v>4409.3</v>
      </c>
      <c r="AN16" s="508">
        <v>5215.4999999999991</v>
      </c>
      <c r="AO16" s="179"/>
      <c r="AP16" s="86"/>
      <c r="AQ16" s="86"/>
      <c r="AR16" s="86"/>
      <c r="AS16" s="86"/>
      <c r="AT16" s="86"/>
      <c r="AU16" s="86"/>
      <c r="AV16" s="86"/>
      <c r="AW16" s="86"/>
      <c r="AX16" s="86"/>
      <c r="AY16" s="86"/>
      <c r="AZ16" s="86"/>
      <c r="BA16" s="86"/>
      <c r="BB16" s="86"/>
      <c r="BC16" s="86"/>
      <c r="BD16" s="86"/>
      <c r="BE16" s="86"/>
      <c r="BF16" s="86"/>
      <c r="BG16" s="86"/>
      <c r="BH16" s="86"/>
      <c r="BI16" s="86"/>
      <c r="BJ16" s="86"/>
      <c r="BK16" s="86"/>
      <c r="BL16" s="86"/>
      <c r="BM16" s="86"/>
      <c r="BN16" s="86"/>
      <c r="BO16" s="86"/>
      <c r="BP16" s="86"/>
      <c r="BQ16" s="86"/>
      <c r="BR16" s="86"/>
      <c r="BS16" s="86"/>
      <c r="BT16" s="86"/>
      <c r="BU16" s="86"/>
      <c r="BV16" s="86"/>
    </row>
    <row r="17" spans="1:74" ht="20.25" customHeight="1" thickTop="1">
      <c r="A17" s="85" t="s">
        <v>137</v>
      </c>
      <c r="B17" s="85" t="s">
        <v>138</v>
      </c>
      <c r="C17" s="103">
        <v>0</v>
      </c>
      <c r="D17" s="104">
        <v>0</v>
      </c>
      <c r="E17" s="96">
        <v>0</v>
      </c>
      <c r="F17" s="97">
        <v>0</v>
      </c>
      <c r="G17" s="98">
        <v>0</v>
      </c>
      <c r="H17" s="98">
        <v>0</v>
      </c>
      <c r="I17" s="96">
        <v>0</v>
      </c>
      <c r="J17" s="99">
        <v>0</v>
      </c>
      <c r="K17" s="98">
        <v>0</v>
      </c>
      <c r="L17" s="98">
        <v>0</v>
      </c>
      <c r="M17" s="96">
        <v>503.4</v>
      </c>
      <c r="N17" s="100">
        <v>9.6</v>
      </c>
      <c r="O17" s="98">
        <v>0</v>
      </c>
      <c r="P17" s="98">
        <v>0</v>
      </c>
      <c r="Q17" s="101">
        <v>0</v>
      </c>
      <c r="R17" s="100">
        <v>0</v>
      </c>
      <c r="S17" s="102">
        <v>288.10000000000002</v>
      </c>
      <c r="T17" s="102">
        <v>3007.7000000000003</v>
      </c>
      <c r="U17" s="101" t="s">
        <v>92</v>
      </c>
      <c r="V17" s="100">
        <v>0</v>
      </c>
      <c r="W17" s="102">
        <v>264</v>
      </c>
      <c r="X17" s="102">
        <v>270.79999999999995</v>
      </c>
      <c r="Y17" s="101">
        <v>210.9</v>
      </c>
      <c r="Z17" s="100">
        <v>185.5</v>
      </c>
      <c r="AA17" s="102">
        <v>0</v>
      </c>
      <c r="AB17" s="102">
        <v>0</v>
      </c>
      <c r="AC17" s="101">
        <v>0</v>
      </c>
      <c r="AD17" s="100">
        <v>85.3</v>
      </c>
      <c r="AE17" s="102">
        <v>0</v>
      </c>
      <c r="AF17" s="507">
        <v>0</v>
      </c>
      <c r="AG17" s="101">
        <v>0</v>
      </c>
      <c r="AH17" s="100">
        <v>0</v>
      </c>
      <c r="AI17" s="102">
        <v>0</v>
      </c>
      <c r="AJ17" s="507">
        <v>24.6</v>
      </c>
      <c r="AK17" s="101">
        <v>24.6</v>
      </c>
      <c r="AL17" s="100">
        <v>10</v>
      </c>
      <c r="AM17" s="102">
        <v>0</v>
      </c>
      <c r="AN17" s="507"/>
      <c r="AO17" s="101"/>
      <c r="AP17" s="86"/>
      <c r="AQ17" s="86"/>
      <c r="AR17" s="86"/>
      <c r="AS17" s="86"/>
      <c r="AT17" s="86"/>
      <c r="AU17" s="86"/>
      <c r="AV17" s="86"/>
      <c r="AW17" s="86"/>
      <c r="AX17" s="86"/>
      <c r="AY17" s="86"/>
      <c r="AZ17" s="86"/>
      <c r="BA17" s="86"/>
      <c r="BB17" s="86"/>
      <c r="BC17" s="86"/>
      <c r="BD17" s="86"/>
      <c r="BE17" s="86"/>
      <c r="BF17" s="86"/>
      <c r="BG17" s="86"/>
      <c r="BH17" s="86"/>
      <c r="BI17" s="86"/>
      <c r="BJ17" s="86"/>
      <c r="BK17" s="86"/>
      <c r="BL17" s="86"/>
      <c r="BM17" s="86"/>
      <c r="BN17" s="86"/>
      <c r="BO17" s="86"/>
      <c r="BP17" s="86"/>
      <c r="BQ17" s="86"/>
      <c r="BR17" s="86"/>
      <c r="BS17" s="86"/>
      <c r="BT17" s="86"/>
      <c r="BU17" s="86"/>
      <c r="BV17" s="86"/>
    </row>
    <row r="18" spans="1:74" ht="20.25" customHeight="1" thickBot="1">
      <c r="A18" s="180" t="s">
        <v>139</v>
      </c>
      <c r="B18" s="180" t="s">
        <v>140</v>
      </c>
      <c r="C18" s="181">
        <v>2433.4</v>
      </c>
      <c r="D18" s="182">
        <v>2596.9</v>
      </c>
      <c r="E18" s="183">
        <v>2400.8999999999996</v>
      </c>
      <c r="F18" s="184">
        <v>2900.1</v>
      </c>
      <c r="G18" s="185">
        <v>3077.4</v>
      </c>
      <c r="H18" s="185">
        <v>2854.3</v>
      </c>
      <c r="I18" s="183">
        <v>3369.9000000000005</v>
      </c>
      <c r="J18" s="184">
        <v>5723</v>
      </c>
      <c r="K18" s="185">
        <v>6948.7000000000007</v>
      </c>
      <c r="L18" s="185">
        <v>6777.9</v>
      </c>
      <c r="M18" s="183">
        <v>6736</v>
      </c>
      <c r="N18" s="186">
        <v>6920.2999999999993</v>
      </c>
      <c r="O18" s="187">
        <v>7193.3</v>
      </c>
      <c r="P18" s="185">
        <v>7368.9</v>
      </c>
      <c r="Q18" s="188">
        <v>7143.7</v>
      </c>
      <c r="R18" s="186">
        <v>7214.7</v>
      </c>
      <c r="S18" s="187">
        <v>6742.7</v>
      </c>
      <c r="T18" s="189">
        <v>6798.2</v>
      </c>
      <c r="U18" s="188" t="s">
        <v>92</v>
      </c>
      <c r="V18" s="186">
        <v>7192.4</v>
      </c>
      <c r="W18" s="187">
        <v>6676.8000000000011</v>
      </c>
      <c r="X18" s="189">
        <v>6823.5</v>
      </c>
      <c r="Y18" s="188">
        <v>6647.4</v>
      </c>
      <c r="Z18" s="186">
        <v>6689.6000000000013</v>
      </c>
      <c r="AA18" s="187">
        <v>7046.1999999999989</v>
      </c>
      <c r="AB18" s="189">
        <v>7333</v>
      </c>
      <c r="AC18" s="188">
        <v>7500.7</v>
      </c>
      <c r="AD18" s="186">
        <v>7299.6999999999989</v>
      </c>
      <c r="AE18" s="187">
        <v>7584.5</v>
      </c>
      <c r="AF18" s="189">
        <v>7536.4</v>
      </c>
      <c r="AG18" s="188" t="s">
        <v>323</v>
      </c>
      <c r="AH18" s="186">
        <v>7344.7999999999993</v>
      </c>
      <c r="AI18" s="187">
        <v>7260.5</v>
      </c>
      <c r="AJ18" s="189">
        <v>7878.2</v>
      </c>
      <c r="AK18" s="188">
        <v>7346</v>
      </c>
      <c r="AL18" s="186">
        <v>7898.1</v>
      </c>
      <c r="AM18" s="187">
        <v>8350.0400000000009</v>
      </c>
      <c r="AN18" s="189">
        <v>9213.6999999999989</v>
      </c>
      <c r="AO18" s="188"/>
      <c r="AP18" s="86"/>
      <c r="AQ18" s="86"/>
      <c r="AR18" s="86"/>
      <c r="AS18" s="86"/>
      <c r="AT18" s="86"/>
      <c r="AU18" s="86"/>
      <c r="AV18" s="86"/>
      <c r="AW18" s="86"/>
      <c r="AX18" s="86"/>
      <c r="AY18" s="86"/>
      <c r="AZ18" s="86"/>
      <c r="BA18" s="86"/>
      <c r="BB18" s="86"/>
      <c r="BC18" s="86"/>
      <c r="BD18" s="86"/>
      <c r="BE18" s="86"/>
      <c r="BF18" s="86"/>
      <c r="BG18" s="86"/>
      <c r="BH18" s="86"/>
      <c r="BI18" s="86"/>
      <c r="BJ18" s="86"/>
      <c r="BK18" s="86"/>
      <c r="BL18" s="86"/>
      <c r="BM18" s="86"/>
      <c r="BN18" s="86"/>
      <c r="BO18" s="86"/>
      <c r="BP18" s="86"/>
      <c r="BQ18" s="86"/>
      <c r="BR18" s="86"/>
      <c r="BS18" s="86"/>
      <c r="BT18" s="86"/>
      <c r="BU18" s="86"/>
      <c r="BV18" s="86"/>
    </row>
    <row r="19" spans="1:74" ht="20.25" customHeight="1" thickTop="1">
      <c r="A19" s="86"/>
      <c r="B19" s="86"/>
      <c r="C19" s="94"/>
      <c r="D19" s="95"/>
      <c r="E19" s="96"/>
      <c r="F19" s="97"/>
      <c r="G19" s="98"/>
      <c r="H19" s="98"/>
      <c r="I19" s="96"/>
      <c r="J19" s="99"/>
      <c r="K19" s="98"/>
      <c r="L19" s="98"/>
      <c r="M19" s="96"/>
      <c r="N19" s="100"/>
      <c r="O19" s="98"/>
      <c r="P19" s="98"/>
      <c r="Q19" s="101"/>
      <c r="R19" s="100"/>
      <c r="S19" s="102"/>
      <c r="T19" s="102"/>
      <c r="U19" s="101"/>
      <c r="V19" s="100"/>
      <c r="W19" s="102"/>
      <c r="X19" s="105"/>
      <c r="Y19" s="96"/>
      <c r="Z19" s="100"/>
      <c r="AA19" s="102"/>
      <c r="AB19" s="105"/>
      <c r="AC19" s="96"/>
      <c r="AD19" s="100"/>
      <c r="AE19" s="102"/>
      <c r="AF19" s="509"/>
      <c r="AG19" s="96"/>
      <c r="AH19" s="100"/>
      <c r="AI19" s="102"/>
      <c r="AJ19" s="509"/>
      <c r="AK19" s="96"/>
      <c r="AL19" s="100"/>
      <c r="AM19" s="102"/>
      <c r="AN19" s="509"/>
      <c r="AO19" s="96"/>
      <c r="AP19" s="86"/>
      <c r="AQ19" s="86"/>
      <c r="AR19" s="86"/>
      <c r="AS19" s="86"/>
      <c r="AT19" s="86"/>
      <c r="AU19" s="86"/>
      <c r="AV19" s="86"/>
      <c r="AW19" s="86"/>
      <c r="AX19" s="86"/>
      <c r="AY19" s="86"/>
      <c r="AZ19" s="86"/>
      <c r="BA19" s="86"/>
      <c r="BB19" s="86"/>
      <c r="BC19" s="86"/>
      <c r="BD19" s="86"/>
      <c r="BE19" s="86"/>
      <c r="BF19" s="86"/>
      <c r="BG19" s="86"/>
      <c r="BH19" s="86"/>
      <c r="BI19" s="86"/>
      <c r="BJ19" s="86"/>
      <c r="BK19" s="86"/>
      <c r="BL19" s="86"/>
      <c r="BM19" s="86"/>
      <c r="BN19" s="86"/>
      <c r="BO19" s="86"/>
      <c r="BP19" s="86"/>
      <c r="BQ19" s="86"/>
      <c r="BR19" s="86"/>
      <c r="BS19" s="86"/>
      <c r="BT19" s="86"/>
      <c r="BU19" s="86"/>
      <c r="BV19" s="86"/>
    </row>
    <row r="20" spans="1:74" ht="20.25" customHeight="1">
      <c r="A20" s="88" t="s">
        <v>141</v>
      </c>
      <c r="B20" s="88" t="s">
        <v>142</v>
      </c>
      <c r="C20" s="94"/>
      <c r="D20" s="95"/>
      <c r="E20" s="96"/>
      <c r="F20" s="97"/>
      <c r="G20" s="98"/>
      <c r="H20" s="98"/>
      <c r="I20" s="96"/>
      <c r="J20" s="99"/>
      <c r="K20" s="98"/>
      <c r="L20" s="98"/>
      <c r="M20" s="96"/>
      <c r="N20" s="100"/>
      <c r="O20" s="98"/>
      <c r="P20" s="98"/>
      <c r="Q20" s="101"/>
      <c r="R20" s="100"/>
      <c r="S20" s="102"/>
      <c r="T20" s="102"/>
      <c r="U20" s="101"/>
      <c r="V20" s="100"/>
      <c r="W20" s="102"/>
      <c r="X20" s="105"/>
      <c r="Y20" s="96"/>
      <c r="Z20" s="100"/>
      <c r="AA20" s="102"/>
      <c r="AB20" s="105"/>
      <c r="AC20" s="96"/>
      <c r="AD20" s="100"/>
      <c r="AE20" s="102"/>
      <c r="AF20" s="509"/>
      <c r="AG20" s="96"/>
      <c r="AH20" s="100"/>
      <c r="AI20" s="102"/>
      <c r="AJ20" s="509"/>
      <c r="AK20" s="96"/>
      <c r="AL20" s="100"/>
      <c r="AM20" s="102"/>
      <c r="AN20" s="509"/>
      <c r="AO20" s="96"/>
      <c r="AP20" s="86"/>
      <c r="AQ20" s="86"/>
      <c r="AR20" s="86"/>
      <c r="AS20" s="86"/>
      <c r="AT20" s="86"/>
      <c r="AU20" s="86"/>
      <c r="AV20" s="86"/>
      <c r="AW20" s="86"/>
      <c r="AX20" s="86"/>
      <c r="AY20" s="86"/>
      <c r="AZ20" s="86"/>
      <c r="BA20" s="86"/>
      <c r="BB20" s="86"/>
      <c r="BC20" s="86"/>
      <c r="BD20" s="86"/>
      <c r="BE20" s="86"/>
      <c r="BF20" s="86"/>
      <c r="BG20" s="86"/>
      <c r="BH20" s="86"/>
      <c r="BI20" s="86"/>
      <c r="BJ20" s="86"/>
      <c r="BK20" s="86"/>
      <c r="BL20" s="86"/>
      <c r="BM20" s="86"/>
      <c r="BN20" s="86"/>
      <c r="BO20" s="86"/>
      <c r="BP20" s="86"/>
      <c r="BQ20" s="86"/>
      <c r="BR20" s="86"/>
      <c r="BS20" s="86"/>
      <c r="BT20" s="86"/>
      <c r="BU20" s="86"/>
      <c r="BV20" s="86"/>
    </row>
    <row r="21" spans="1:74" ht="20.25" customHeight="1">
      <c r="A21" s="85" t="s">
        <v>310</v>
      </c>
      <c r="B21" s="85" t="s">
        <v>219</v>
      </c>
      <c r="C21" s="94">
        <v>366</v>
      </c>
      <c r="D21" s="95">
        <v>366</v>
      </c>
      <c r="E21" s="96">
        <v>366</v>
      </c>
      <c r="F21" s="99">
        <v>436</v>
      </c>
      <c r="G21" s="98">
        <v>436</v>
      </c>
      <c r="H21" s="98">
        <v>436</v>
      </c>
      <c r="I21" s="96">
        <v>436</v>
      </c>
      <c r="J21" s="99">
        <v>436</v>
      </c>
      <c r="K21" s="98">
        <v>210</v>
      </c>
      <c r="L21" s="98">
        <v>210</v>
      </c>
      <c r="M21" s="96">
        <v>210</v>
      </c>
      <c r="N21" s="100">
        <v>210</v>
      </c>
      <c r="O21" s="102">
        <v>311</v>
      </c>
      <c r="P21" s="105">
        <v>311</v>
      </c>
      <c r="Q21" s="101">
        <v>683</v>
      </c>
      <c r="R21" s="100">
        <v>583.29999999999995</v>
      </c>
      <c r="S21" s="102">
        <v>310.5</v>
      </c>
      <c r="T21" s="105">
        <v>305.3</v>
      </c>
      <c r="U21" s="101" t="s">
        <v>92</v>
      </c>
      <c r="V21" s="100">
        <v>555.79999999999995</v>
      </c>
      <c r="W21" s="102">
        <v>319.60000000000002</v>
      </c>
      <c r="X21" s="105">
        <v>253.6</v>
      </c>
      <c r="Y21" s="101">
        <v>472.7</v>
      </c>
      <c r="Z21" s="100">
        <v>445</v>
      </c>
      <c r="AA21" s="102">
        <v>1451.1</v>
      </c>
      <c r="AB21" s="105">
        <v>2010.4</v>
      </c>
      <c r="AC21" s="101">
        <v>1914.6</v>
      </c>
      <c r="AD21" s="100">
        <v>1869.5</v>
      </c>
      <c r="AE21" s="102">
        <v>1230.5</v>
      </c>
      <c r="AF21" s="509">
        <v>1474.3</v>
      </c>
      <c r="AG21" s="101" t="s">
        <v>327</v>
      </c>
      <c r="AH21" s="100">
        <v>1199.3</v>
      </c>
      <c r="AI21" s="102">
        <v>999.6</v>
      </c>
      <c r="AJ21" s="509">
        <v>734.3</v>
      </c>
      <c r="AK21" s="101">
        <v>676.6</v>
      </c>
      <c r="AL21" s="100">
        <v>619.5</v>
      </c>
      <c r="AM21" s="102">
        <v>1270.8</v>
      </c>
      <c r="AN21" s="509">
        <v>1100.0999999999999</v>
      </c>
      <c r="AO21" s="101"/>
      <c r="AP21" s="86"/>
      <c r="AQ21" s="86"/>
      <c r="AR21" s="86"/>
      <c r="AS21" s="86"/>
      <c r="AT21" s="86"/>
      <c r="AU21" s="86"/>
      <c r="AV21" s="86"/>
      <c r="AW21" s="86"/>
      <c r="AX21" s="86"/>
      <c r="AY21" s="86"/>
      <c r="AZ21" s="86"/>
      <c r="BA21" s="86"/>
      <c r="BB21" s="86"/>
      <c r="BC21" s="86"/>
      <c r="BD21" s="86"/>
      <c r="BE21" s="86"/>
      <c r="BF21" s="86"/>
      <c r="BG21" s="86"/>
      <c r="BH21" s="86"/>
      <c r="BI21" s="86"/>
      <c r="BJ21" s="86"/>
      <c r="BK21" s="86"/>
      <c r="BL21" s="86"/>
      <c r="BM21" s="86"/>
      <c r="BN21" s="86"/>
      <c r="BO21" s="86"/>
      <c r="BP21" s="86"/>
      <c r="BQ21" s="86"/>
      <c r="BR21" s="86"/>
      <c r="BS21" s="86"/>
      <c r="BT21" s="86"/>
      <c r="BU21" s="86"/>
      <c r="BV21" s="86"/>
    </row>
    <row r="22" spans="1:74" ht="20.25" customHeight="1">
      <c r="A22" s="85" t="s">
        <v>143</v>
      </c>
      <c r="B22" s="85" t="s">
        <v>220</v>
      </c>
      <c r="C22" s="94" t="s">
        <v>28</v>
      </c>
      <c r="D22" s="95" t="s">
        <v>28</v>
      </c>
      <c r="E22" s="96">
        <v>229.6</v>
      </c>
      <c r="F22" s="99">
        <v>231.4</v>
      </c>
      <c r="G22" s="98">
        <v>233.3</v>
      </c>
      <c r="H22" s="98">
        <v>235.3</v>
      </c>
      <c r="I22" s="96">
        <v>777.9</v>
      </c>
      <c r="J22" s="99">
        <v>784.2</v>
      </c>
      <c r="K22" s="98">
        <v>844.4</v>
      </c>
      <c r="L22" s="98">
        <v>840.2</v>
      </c>
      <c r="M22" s="96">
        <v>878.7</v>
      </c>
      <c r="N22" s="100">
        <v>885.5</v>
      </c>
      <c r="O22" s="102">
        <v>892.9</v>
      </c>
      <c r="P22" s="105">
        <v>900.3</v>
      </c>
      <c r="Q22" s="101">
        <v>801.1</v>
      </c>
      <c r="R22" s="100">
        <v>800.6</v>
      </c>
      <c r="S22" s="102">
        <v>784.3</v>
      </c>
      <c r="T22" s="105">
        <v>790.7</v>
      </c>
      <c r="U22" s="101" t="s">
        <v>92</v>
      </c>
      <c r="V22" s="100">
        <v>803</v>
      </c>
      <c r="W22" s="102">
        <v>786.4</v>
      </c>
      <c r="X22" s="105">
        <v>792.9</v>
      </c>
      <c r="Y22" s="101">
        <v>828.6</v>
      </c>
      <c r="Z22" s="100">
        <v>86</v>
      </c>
      <c r="AA22" s="102">
        <v>86.800000000000011</v>
      </c>
      <c r="AB22" s="105">
        <v>84.6</v>
      </c>
      <c r="AC22" s="101">
        <v>64.8</v>
      </c>
      <c r="AD22" s="100">
        <v>65.5</v>
      </c>
      <c r="AE22" s="102">
        <v>60.1</v>
      </c>
      <c r="AF22" s="509">
        <v>60.7</v>
      </c>
      <c r="AG22" s="101">
        <v>31.1</v>
      </c>
      <c r="AH22" s="100">
        <v>31.8</v>
      </c>
      <c r="AI22" s="102">
        <v>10.5</v>
      </c>
      <c r="AJ22" s="509">
        <v>0</v>
      </c>
      <c r="AK22" s="101">
        <v>0</v>
      </c>
      <c r="AL22" s="100">
        <v>0</v>
      </c>
      <c r="AM22" s="102">
        <v>0</v>
      </c>
      <c r="AN22" s="509"/>
      <c r="AO22" s="101"/>
      <c r="AP22" s="86"/>
      <c r="AQ22" s="86"/>
      <c r="AR22" s="86"/>
      <c r="AS22" s="86"/>
      <c r="AT22" s="86"/>
      <c r="AU22" s="86"/>
      <c r="AV22" s="86"/>
      <c r="AW22" s="86"/>
      <c r="AX22" s="86"/>
      <c r="AY22" s="86"/>
      <c r="AZ22" s="86"/>
      <c r="BA22" s="86"/>
      <c r="BB22" s="86"/>
      <c r="BC22" s="86"/>
      <c r="BD22" s="86"/>
      <c r="BE22" s="86"/>
      <c r="BF22" s="86"/>
      <c r="BG22" s="86"/>
      <c r="BH22" s="86"/>
      <c r="BI22" s="86"/>
      <c r="BJ22" s="86"/>
      <c r="BK22" s="86"/>
      <c r="BL22" s="86"/>
      <c r="BM22" s="86"/>
      <c r="BN22" s="86"/>
      <c r="BO22" s="86"/>
      <c r="BP22" s="86"/>
      <c r="BQ22" s="86"/>
      <c r="BR22" s="86"/>
      <c r="BS22" s="86"/>
      <c r="BT22" s="86"/>
      <c r="BU22" s="86"/>
      <c r="BV22" s="86"/>
    </row>
    <row r="23" spans="1:74" ht="20.25" customHeight="1">
      <c r="A23" s="85" t="s">
        <v>144</v>
      </c>
      <c r="B23" s="85" t="s">
        <v>145</v>
      </c>
      <c r="C23" s="94" t="s">
        <v>28</v>
      </c>
      <c r="D23" s="95" t="s">
        <v>28</v>
      </c>
      <c r="E23" s="96" t="s">
        <v>28</v>
      </c>
      <c r="F23" s="99" t="s">
        <v>28</v>
      </c>
      <c r="G23" s="98" t="s">
        <v>28</v>
      </c>
      <c r="H23" s="98" t="s">
        <v>28</v>
      </c>
      <c r="I23" s="96" t="s">
        <v>28</v>
      </c>
      <c r="J23" s="99">
        <v>2418.9</v>
      </c>
      <c r="K23" s="98">
        <v>1971.2</v>
      </c>
      <c r="L23" s="98">
        <v>1865.1</v>
      </c>
      <c r="M23" s="96">
        <v>1484</v>
      </c>
      <c r="N23" s="100">
        <v>1446</v>
      </c>
      <c r="O23" s="102">
        <v>1630</v>
      </c>
      <c r="P23" s="105">
        <v>1599</v>
      </c>
      <c r="Q23" s="101">
        <v>1528.6</v>
      </c>
      <c r="R23" s="100">
        <v>1522.9</v>
      </c>
      <c r="S23" s="102">
        <v>1446.9</v>
      </c>
      <c r="T23" s="105">
        <v>1457.6999999999998</v>
      </c>
      <c r="U23" s="101" t="s">
        <v>92</v>
      </c>
      <c r="V23" s="100">
        <v>1526.6</v>
      </c>
      <c r="W23" s="102">
        <v>1435.1</v>
      </c>
      <c r="X23" s="105">
        <v>1487.3</v>
      </c>
      <c r="Y23" s="101">
        <v>1415.4</v>
      </c>
      <c r="Z23" s="100">
        <v>1351.8</v>
      </c>
      <c r="AA23" s="102">
        <v>1288.7</v>
      </c>
      <c r="AB23" s="105">
        <v>1213</v>
      </c>
      <c r="AC23" s="101">
        <v>1303.9000000000001</v>
      </c>
      <c r="AD23" s="100">
        <v>1224.5</v>
      </c>
      <c r="AE23" s="102">
        <v>1275.5999999999999</v>
      </c>
      <c r="AF23" s="509">
        <v>1205.5</v>
      </c>
      <c r="AG23" s="101" t="s">
        <v>325</v>
      </c>
      <c r="AH23" s="100">
        <v>1203.4000000000001</v>
      </c>
      <c r="AI23" s="102">
        <v>1196.8</v>
      </c>
      <c r="AJ23" s="509">
        <v>1251.8</v>
      </c>
      <c r="AK23" s="101">
        <v>1213.2</v>
      </c>
      <c r="AL23" s="100">
        <v>1201</v>
      </c>
      <c r="AM23" s="102">
        <v>1219.5999999999999</v>
      </c>
      <c r="AN23" s="509">
        <v>1255.2</v>
      </c>
      <c r="AO23" s="101"/>
      <c r="AP23" s="86"/>
      <c r="AQ23" s="86"/>
      <c r="AR23" s="86"/>
      <c r="AS23" s="86"/>
      <c r="AT23" s="86"/>
      <c r="AU23" s="86"/>
      <c r="AV23" s="86"/>
      <c r="AW23" s="86"/>
      <c r="AX23" s="86"/>
      <c r="AY23" s="86"/>
      <c r="AZ23" s="86"/>
      <c r="BA23" s="86"/>
      <c r="BB23" s="86"/>
      <c r="BC23" s="86"/>
      <c r="BD23" s="86"/>
      <c r="BE23" s="86"/>
      <c r="BF23" s="86"/>
      <c r="BG23" s="86"/>
      <c r="BH23" s="86"/>
      <c r="BI23" s="86"/>
      <c r="BJ23" s="86"/>
      <c r="BK23" s="86"/>
      <c r="BL23" s="86"/>
      <c r="BM23" s="86"/>
      <c r="BN23" s="86"/>
      <c r="BO23" s="86"/>
      <c r="BP23" s="86"/>
      <c r="BQ23" s="86"/>
      <c r="BR23" s="86"/>
      <c r="BS23" s="86"/>
      <c r="BT23" s="86"/>
      <c r="BU23" s="86"/>
      <c r="BV23" s="86"/>
    </row>
    <row r="24" spans="1:74" ht="20.25" customHeight="1" thickBot="1">
      <c r="A24" s="190" t="s">
        <v>146</v>
      </c>
      <c r="B24" s="190" t="s">
        <v>147</v>
      </c>
      <c r="C24" s="170">
        <v>399</v>
      </c>
      <c r="D24" s="171">
        <v>398.2</v>
      </c>
      <c r="E24" s="172">
        <v>660.4</v>
      </c>
      <c r="F24" s="175">
        <v>732.1</v>
      </c>
      <c r="G24" s="174">
        <v>732.3</v>
      </c>
      <c r="H24" s="174">
        <v>732.8</v>
      </c>
      <c r="I24" s="172">
        <v>1277.8</v>
      </c>
      <c r="J24" s="175">
        <v>3703.7</v>
      </c>
      <c r="K24" s="174">
        <v>3103.6000000000004</v>
      </c>
      <c r="L24" s="174">
        <v>2993.7</v>
      </c>
      <c r="M24" s="172">
        <v>2650.9</v>
      </c>
      <c r="N24" s="176">
        <v>2616</v>
      </c>
      <c r="O24" s="177">
        <v>2916.5</v>
      </c>
      <c r="P24" s="191">
        <v>2892.9</v>
      </c>
      <c r="Q24" s="179">
        <v>3095.8</v>
      </c>
      <c r="R24" s="176">
        <v>2978.3</v>
      </c>
      <c r="S24" s="177">
        <v>2609.5</v>
      </c>
      <c r="T24" s="191">
        <v>2620.2999999999997</v>
      </c>
      <c r="U24" s="179" t="s">
        <v>92</v>
      </c>
      <c r="V24" s="176">
        <v>2960.2</v>
      </c>
      <c r="W24" s="177">
        <v>2607.2999999999997</v>
      </c>
      <c r="X24" s="191">
        <v>2599.6</v>
      </c>
      <c r="Y24" s="179">
        <v>2785.4</v>
      </c>
      <c r="Z24" s="176">
        <v>1952.4</v>
      </c>
      <c r="AA24" s="177">
        <v>2911.5999999999995</v>
      </c>
      <c r="AB24" s="191"/>
      <c r="AC24" s="179">
        <v>3410.2000000000003</v>
      </c>
      <c r="AD24" s="176">
        <v>3288</v>
      </c>
      <c r="AE24" s="177">
        <v>2648.7</v>
      </c>
      <c r="AF24" s="510">
        <v>2821.4</v>
      </c>
      <c r="AG24" s="179" t="s">
        <v>321</v>
      </c>
      <c r="AH24" s="176">
        <v>2507.5</v>
      </c>
      <c r="AI24" s="177">
        <v>2275.8000000000002</v>
      </c>
      <c r="AJ24" s="510">
        <v>2053.8999999999996</v>
      </c>
      <c r="AK24" s="179">
        <v>1959.3</v>
      </c>
      <c r="AL24" s="176">
        <v>1888.9</v>
      </c>
      <c r="AM24" s="177">
        <v>2567.4999999999995</v>
      </c>
      <c r="AN24" s="510">
        <v>2448.1999999999998</v>
      </c>
      <c r="AO24" s="179"/>
      <c r="AP24" s="86"/>
      <c r="AQ24" s="86"/>
      <c r="AR24" s="86"/>
      <c r="AS24" s="86"/>
      <c r="AT24" s="86"/>
      <c r="AU24" s="86"/>
      <c r="AV24" s="86"/>
      <c r="AW24" s="86"/>
      <c r="AX24" s="86"/>
      <c r="AY24" s="86"/>
      <c r="AZ24" s="86"/>
      <c r="BA24" s="86"/>
      <c r="BB24" s="86"/>
      <c r="BC24" s="86"/>
      <c r="BD24" s="86"/>
      <c r="BE24" s="86"/>
      <c r="BF24" s="86"/>
      <c r="BG24" s="86"/>
      <c r="BH24" s="86"/>
      <c r="BI24" s="86"/>
      <c r="BJ24" s="86"/>
      <c r="BK24" s="86"/>
      <c r="BL24" s="86"/>
      <c r="BM24" s="86"/>
      <c r="BN24" s="86"/>
      <c r="BO24" s="86"/>
      <c r="BP24" s="86"/>
      <c r="BQ24" s="86"/>
      <c r="BR24" s="86"/>
      <c r="BS24" s="86"/>
      <c r="BT24" s="86"/>
      <c r="BU24" s="86"/>
      <c r="BV24" s="86"/>
    </row>
    <row r="25" spans="1:74" ht="20.25" customHeight="1" thickTop="1">
      <c r="A25" s="85" t="s">
        <v>310</v>
      </c>
      <c r="B25" s="85" t="s">
        <v>219</v>
      </c>
      <c r="C25" s="94">
        <v>562.5</v>
      </c>
      <c r="D25" s="95">
        <v>735.1</v>
      </c>
      <c r="E25" s="96">
        <v>429.5</v>
      </c>
      <c r="F25" s="99">
        <v>854.5</v>
      </c>
      <c r="G25" s="98">
        <v>797.3</v>
      </c>
      <c r="H25" s="98">
        <v>807.9</v>
      </c>
      <c r="I25" s="96">
        <v>481.1</v>
      </c>
      <c r="J25" s="99">
        <v>530.70000000000005</v>
      </c>
      <c r="K25" s="98">
        <v>1046.4000000000001</v>
      </c>
      <c r="L25" s="98">
        <v>929.2</v>
      </c>
      <c r="M25" s="96">
        <v>806.8</v>
      </c>
      <c r="N25" s="100">
        <v>1242.7</v>
      </c>
      <c r="O25" s="102">
        <v>1125.8</v>
      </c>
      <c r="P25" s="105">
        <v>1268</v>
      </c>
      <c r="Q25" s="101">
        <v>830.4</v>
      </c>
      <c r="R25" s="100">
        <v>1081.2</v>
      </c>
      <c r="S25" s="102">
        <v>1277.9000000000001</v>
      </c>
      <c r="T25" s="105">
        <v>1251.5999999999999</v>
      </c>
      <c r="U25" s="101" t="s">
        <v>92</v>
      </c>
      <c r="V25" s="100">
        <v>1148.3</v>
      </c>
      <c r="W25" s="102">
        <v>1239</v>
      </c>
      <c r="X25" s="105">
        <v>1199.5999999999999</v>
      </c>
      <c r="Y25" s="101">
        <v>1196.9000000000001</v>
      </c>
      <c r="Z25" s="100">
        <v>1262</v>
      </c>
      <c r="AA25" s="102">
        <v>269.2</v>
      </c>
      <c r="AB25" s="105">
        <v>410.8</v>
      </c>
      <c r="AC25" s="101">
        <v>545</v>
      </c>
      <c r="AD25" s="100">
        <v>570.9</v>
      </c>
      <c r="AE25" s="102">
        <v>1335.1</v>
      </c>
      <c r="AF25" s="509">
        <v>1086.7</v>
      </c>
      <c r="AG25" s="101" t="s">
        <v>328</v>
      </c>
      <c r="AH25" s="100">
        <v>1066.0999999999999</v>
      </c>
      <c r="AI25" s="102">
        <v>1084.4000000000001</v>
      </c>
      <c r="AJ25" s="509">
        <v>1444.4</v>
      </c>
      <c r="AK25" s="101">
        <v>1418.8</v>
      </c>
      <c r="AL25" s="100">
        <v>1619.7</v>
      </c>
      <c r="AM25" s="102">
        <v>1164</v>
      </c>
      <c r="AN25" s="509">
        <v>1244.8</v>
      </c>
      <c r="AO25" s="101"/>
      <c r="AP25" s="86"/>
      <c r="AQ25" s="86"/>
      <c r="AR25" s="86"/>
      <c r="AS25" s="86"/>
      <c r="AT25" s="86"/>
      <c r="AU25" s="86"/>
      <c r="AV25" s="86"/>
      <c r="AW25" s="86"/>
      <c r="AX25" s="86"/>
      <c r="AY25" s="86"/>
      <c r="AZ25" s="86"/>
      <c r="BA25" s="86"/>
      <c r="BB25" s="86"/>
      <c r="BC25" s="86"/>
      <c r="BD25" s="86"/>
      <c r="BE25" s="86"/>
      <c r="BF25" s="86"/>
      <c r="BG25" s="86"/>
      <c r="BH25" s="86"/>
      <c r="BI25" s="86"/>
      <c r="BJ25" s="86"/>
      <c r="BK25" s="86"/>
      <c r="BL25" s="86"/>
      <c r="BM25" s="86"/>
      <c r="BN25" s="86"/>
      <c r="BO25" s="86"/>
      <c r="BP25" s="86"/>
      <c r="BQ25" s="86"/>
      <c r="BR25" s="86"/>
      <c r="BS25" s="86"/>
      <c r="BT25" s="86"/>
      <c r="BU25" s="86"/>
      <c r="BV25" s="86"/>
    </row>
    <row r="26" spans="1:74" ht="20.25" customHeight="1">
      <c r="A26" s="85" t="s">
        <v>221</v>
      </c>
      <c r="B26" s="85" t="s">
        <v>222</v>
      </c>
      <c r="C26" s="94">
        <v>91.2</v>
      </c>
      <c r="D26" s="95">
        <v>111.3</v>
      </c>
      <c r="E26" s="96">
        <v>174.3</v>
      </c>
      <c r="F26" s="99">
        <v>264</v>
      </c>
      <c r="G26" s="98">
        <v>291.8</v>
      </c>
      <c r="H26" s="98">
        <v>103.6</v>
      </c>
      <c r="I26" s="96">
        <v>235.8</v>
      </c>
      <c r="J26" s="99">
        <v>327.5</v>
      </c>
      <c r="K26" s="98">
        <v>763.8</v>
      </c>
      <c r="L26" s="98">
        <v>852.7</v>
      </c>
      <c r="M26" s="96">
        <v>864.2</v>
      </c>
      <c r="N26" s="100">
        <v>1008.5</v>
      </c>
      <c r="O26" s="102">
        <v>1132.5999999999999</v>
      </c>
      <c r="P26" s="105">
        <v>1301.9000000000001</v>
      </c>
      <c r="Q26" s="101">
        <v>1158.2</v>
      </c>
      <c r="R26" s="100">
        <v>1426.9</v>
      </c>
      <c r="S26" s="102">
        <v>935.9</v>
      </c>
      <c r="T26" s="105">
        <v>1157.4000000000001</v>
      </c>
      <c r="U26" s="101" t="s">
        <v>92</v>
      </c>
      <c r="V26" s="100">
        <v>1557.7</v>
      </c>
      <c r="W26" s="102">
        <v>1002.7</v>
      </c>
      <c r="X26" s="105">
        <v>1202.3000000000002</v>
      </c>
      <c r="Y26" s="101">
        <v>1269.3</v>
      </c>
      <c r="Z26" s="100">
        <v>1433.5</v>
      </c>
      <c r="AA26" s="102">
        <v>1325.3</v>
      </c>
      <c r="AB26" s="105">
        <v>1276.5</v>
      </c>
      <c r="AC26" s="101">
        <v>1480.1</v>
      </c>
      <c r="AD26" s="100">
        <v>1475.1</v>
      </c>
      <c r="AE26" s="102">
        <v>1642.4</v>
      </c>
      <c r="AF26" s="509">
        <v>1760.6</v>
      </c>
      <c r="AG26" s="101" t="s">
        <v>326</v>
      </c>
      <c r="AH26" s="100">
        <v>1899.7</v>
      </c>
      <c r="AI26" s="102">
        <v>1808.8</v>
      </c>
      <c r="AJ26" s="509">
        <v>2180.6999999999998</v>
      </c>
      <c r="AK26" s="101">
        <v>1820.2</v>
      </c>
      <c r="AL26" s="100">
        <v>2078.4</v>
      </c>
      <c r="AM26" s="102">
        <v>2125.9</v>
      </c>
      <c r="AN26" s="509">
        <v>2704.4</v>
      </c>
      <c r="AO26" s="101"/>
      <c r="AP26" s="86"/>
      <c r="AQ26" s="86"/>
      <c r="AR26" s="86"/>
      <c r="AS26" s="86"/>
      <c r="AT26" s="86"/>
      <c r="AU26" s="86"/>
      <c r="AV26" s="86"/>
      <c r="AW26" s="86"/>
      <c r="AX26" s="86"/>
      <c r="AY26" s="86"/>
      <c r="AZ26" s="86"/>
      <c r="BA26" s="86"/>
      <c r="BB26" s="86"/>
      <c r="BC26" s="86"/>
      <c r="BD26" s="86"/>
      <c r="BE26" s="86"/>
      <c r="BF26" s="86"/>
      <c r="BG26" s="86"/>
      <c r="BH26" s="86"/>
      <c r="BI26" s="86"/>
      <c r="BJ26" s="86"/>
      <c r="BK26" s="86"/>
      <c r="BL26" s="86"/>
      <c r="BM26" s="86"/>
      <c r="BN26" s="86"/>
      <c r="BO26" s="86"/>
      <c r="BP26" s="86"/>
      <c r="BQ26" s="86"/>
      <c r="BR26" s="86"/>
      <c r="BS26" s="86"/>
      <c r="BT26" s="86"/>
      <c r="BU26" s="86"/>
      <c r="BV26" s="86"/>
    </row>
    <row r="27" spans="1:74" ht="20.25" customHeight="1">
      <c r="A27" s="85" t="s">
        <v>148</v>
      </c>
      <c r="B27" s="85" t="s">
        <v>149</v>
      </c>
      <c r="C27" s="94">
        <v>181</v>
      </c>
      <c r="D27" s="95">
        <v>99.8</v>
      </c>
      <c r="E27" s="96">
        <v>137.6</v>
      </c>
      <c r="F27" s="99">
        <v>68.099999999999994</v>
      </c>
      <c r="G27" s="98">
        <v>254.2</v>
      </c>
      <c r="H27" s="98">
        <v>148.5</v>
      </c>
      <c r="I27" s="96">
        <v>166.6</v>
      </c>
      <c r="J27" s="99">
        <v>99.5</v>
      </c>
      <c r="K27" s="98">
        <v>300.2</v>
      </c>
      <c r="L27" s="98">
        <v>317.10000000000002</v>
      </c>
      <c r="M27" s="96">
        <v>274.3</v>
      </c>
      <c r="N27" s="100">
        <v>486.5</v>
      </c>
      <c r="O27" s="102">
        <v>448.4</v>
      </c>
      <c r="P27" s="105">
        <v>355</v>
      </c>
      <c r="Q27" s="101">
        <v>378</v>
      </c>
      <c r="R27" s="100">
        <v>302.7</v>
      </c>
      <c r="S27" s="102">
        <v>485.8</v>
      </c>
      <c r="T27" s="105">
        <v>438.40000000000003</v>
      </c>
      <c r="U27" s="101" t="s">
        <v>92</v>
      </c>
      <c r="V27" s="100">
        <v>317.89999999999998</v>
      </c>
      <c r="W27" s="102">
        <v>428.4</v>
      </c>
      <c r="X27" s="105">
        <v>452.5</v>
      </c>
      <c r="Y27" s="101">
        <v>386.2</v>
      </c>
      <c r="Z27" s="100">
        <v>431.3</v>
      </c>
      <c r="AA27" s="102">
        <v>405.9</v>
      </c>
      <c r="AB27" s="105">
        <v>444.1</v>
      </c>
      <c r="AC27" s="101">
        <v>375.90000000000003</v>
      </c>
      <c r="AD27" s="100">
        <v>435.3</v>
      </c>
      <c r="AE27" s="102">
        <v>512.20000000000005</v>
      </c>
      <c r="AF27" s="509">
        <v>498.3</v>
      </c>
      <c r="AG27" s="101">
        <v>470.4</v>
      </c>
      <c r="AH27" s="100">
        <v>481</v>
      </c>
      <c r="AI27" s="102">
        <v>445.7</v>
      </c>
      <c r="AJ27" s="509">
        <v>525.09999999999991</v>
      </c>
      <c r="AK27" s="101">
        <v>462.70000000000005</v>
      </c>
      <c r="AL27" s="100">
        <v>543.20000000000005</v>
      </c>
      <c r="AM27" s="102">
        <v>473.5</v>
      </c>
      <c r="AN27" s="509">
        <v>614.4</v>
      </c>
      <c r="AO27" s="101"/>
      <c r="AP27" s="86"/>
      <c r="AQ27" s="86"/>
      <c r="AR27" s="86"/>
      <c r="AS27" s="86"/>
      <c r="AT27" s="86"/>
      <c r="AU27" s="86"/>
      <c r="AV27" s="86"/>
      <c r="AW27" s="86"/>
      <c r="AX27" s="86"/>
      <c r="AY27" s="86"/>
      <c r="AZ27" s="86"/>
      <c r="BA27" s="86"/>
      <c r="BB27" s="86"/>
      <c r="BC27" s="86"/>
      <c r="BD27" s="86"/>
      <c r="BE27" s="86"/>
      <c r="BF27" s="86"/>
      <c r="BG27" s="86"/>
      <c r="BH27" s="86"/>
      <c r="BI27" s="86"/>
      <c r="BJ27" s="86"/>
      <c r="BK27" s="86"/>
      <c r="BL27" s="86"/>
      <c r="BM27" s="86"/>
      <c r="BN27" s="86"/>
      <c r="BO27" s="86"/>
      <c r="BP27" s="86"/>
      <c r="BQ27" s="86"/>
      <c r="BR27" s="86"/>
      <c r="BS27" s="86"/>
      <c r="BT27" s="86"/>
      <c r="BU27" s="86"/>
      <c r="BV27" s="86"/>
    </row>
    <row r="28" spans="1:74" ht="20.25" customHeight="1">
      <c r="A28" s="85" t="s">
        <v>144</v>
      </c>
      <c r="B28" s="85" t="s">
        <v>145</v>
      </c>
      <c r="C28" s="94">
        <v>0</v>
      </c>
      <c r="D28" s="95" t="s">
        <v>28</v>
      </c>
      <c r="E28" s="96" t="s">
        <v>28</v>
      </c>
      <c r="F28" s="99" t="s">
        <v>28</v>
      </c>
      <c r="G28" s="98" t="s">
        <v>28</v>
      </c>
      <c r="H28" s="98" t="s">
        <v>28</v>
      </c>
      <c r="I28" s="96" t="s">
        <v>28</v>
      </c>
      <c r="J28" s="99" t="s">
        <v>28</v>
      </c>
      <c r="K28" s="98">
        <v>519.70000000000005</v>
      </c>
      <c r="L28" s="98">
        <v>522.5</v>
      </c>
      <c r="M28" s="96">
        <v>425.2</v>
      </c>
      <c r="N28" s="100">
        <v>461.4</v>
      </c>
      <c r="O28" s="102">
        <v>511.3</v>
      </c>
      <c r="P28" s="105">
        <v>525.6</v>
      </c>
      <c r="Q28" s="101">
        <v>557.20000000000005</v>
      </c>
      <c r="R28" s="100">
        <v>618.5</v>
      </c>
      <c r="S28" s="102">
        <v>440.1</v>
      </c>
      <c r="T28" s="105">
        <v>419.5</v>
      </c>
      <c r="U28" s="101" t="s">
        <v>92</v>
      </c>
      <c r="V28" s="100">
        <v>580.20000000000005</v>
      </c>
      <c r="W28" s="102">
        <v>411.1</v>
      </c>
      <c r="X28" s="105">
        <v>427.79999999999995</v>
      </c>
      <c r="Y28" s="101">
        <v>450.5</v>
      </c>
      <c r="Z28" s="100">
        <v>492.29999999999995</v>
      </c>
      <c r="AA28" s="102">
        <v>474.9</v>
      </c>
      <c r="AB28" s="105">
        <v>430.5</v>
      </c>
      <c r="AC28" s="101">
        <v>491.6</v>
      </c>
      <c r="AD28" s="100">
        <v>458</v>
      </c>
      <c r="AE28" s="102">
        <v>471.4</v>
      </c>
      <c r="AF28" s="509">
        <v>467.2</v>
      </c>
      <c r="AG28" s="101">
        <v>512.9</v>
      </c>
      <c r="AH28" s="100">
        <v>512.5</v>
      </c>
      <c r="AI28" s="102">
        <v>502.1</v>
      </c>
      <c r="AJ28" s="509">
        <v>525.79999999999995</v>
      </c>
      <c r="AK28" s="101">
        <v>519</v>
      </c>
      <c r="AL28" s="100">
        <v>524.20000000000005</v>
      </c>
      <c r="AM28" s="102">
        <v>517.1</v>
      </c>
      <c r="AN28" s="509">
        <v>545.79999999999995</v>
      </c>
      <c r="AO28" s="101"/>
      <c r="AP28" s="86"/>
      <c r="AQ28" s="86"/>
      <c r="AR28" s="86"/>
      <c r="AS28" s="86"/>
      <c r="AT28" s="86"/>
      <c r="AU28" s="86"/>
      <c r="AV28" s="86"/>
      <c r="AW28" s="86"/>
      <c r="AX28" s="86"/>
      <c r="AY28" s="86"/>
      <c r="AZ28" s="86"/>
      <c r="BA28" s="86"/>
      <c r="BB28" s="86"/>
      <c r="BC28" s="86"/>
      <c r="BD28" s="86"/>
      <c r="BE28" s="86"/>
      <c r="BF28" s="86"/>
      <c r="BG28" s="86"/>
      <c r="BH28" s="86"/>
      <c r="BI28" s="86"/>
      <c r="BJ28" s="86"/>
      <c r="BK28" s="86"/>
      <c r="BL28" s="86"/>
      <c r="BM28" s="86"/>
      <c r="BN28" s="86"/>
      <c r="BO28" s="86"/>
      <c r="BP28" s="86"/>
      <c r="BQ28" s="86"/>
      <c r="BR28" s="86"/>
      <c r="BS28" s="86"/>
      <c r="BT28" s="86"/>
      <c r="BU28" s="86"/>
      <c r="BV28" s="86"/>
    </row>
    <row r="29" spans="1:74" ht="20.25" customHeight="1" thickBot="1">
      <c r="A29" s="190" t="s">
        <v>150</v>
      </c>
      <c r="B29" s="190" t="s">
        <v>151</v>
      </c>
      <c r="C29" s="170">
        <v>1083.4000000000001</v>
      </c>
      <c r="D29" s="171">
        <v>1191.5999999999999</v>
      </c>
      <c r="E29" s="172">
        <v>769.39999999999986</v>
      </c>
      <c r="F29" s="175">
        <v>1226.7</v>
      </c>
      <c r="G29" s="174">
        <v>1361.3999999999999</v>
      </c>
      <c r="H29" s="174">
        <v>1095.5000000000002</v>
      </c>
      <c r="I29" s="172">
        <v>923.80000000000007</v>
      </c>
      <c r="J29" s="175">
        <v>984.20000000000016</v>
      </c>
      <c r="K29" s="174">
        <v>2678.8</v>
      </c>
      <c r="L29" s="174">
        <v>2657.6000000000004</v>
      </c>
      <c r="M29" s="172">
        <v>2419.1000000000004</v>
      </c>
      <c r="N29" s="176">
        <v>3246.6</v>
      </c>
      <c r="O29" s="177">
        <v>3254.8</v>
      </c>
      <c r="P29" s="191">
        <v>3495.2</v>
      </c>
      <c r="Q29" s="179">
        <v>2958.3</v>
      </c>
      <c r="R29" s="176">
        <v>3486.3000000000006</v>
      </c>
      <c r="S29" s="177">
        <v>3178.3</v>
      </c>
      <c r="T29" s="191">
        <v>3022.5999999999995</v>
      </c>
      <c r="U29" s="179" t="s">
        <v>92</v>
      </c>
      <c r="V29" s="176">
        <v>3634.3999999999996</v>
      </c>
      <c r="W29" s="177">
        <v>3118.2999999999997</v>
      </c>
      <c r="X29" s="191">
        <v>3313.8999999999996</v>
      </c>
      <c r="Y29" s="179">
        <v>3346.5</v>
      </c>
      <c r="Z29" s="176">
        <v>3669.2</v>
      </c>
      <c r="AA29" s="177">
        <v>3365.3000000000006</v>
      </c>
      <c r="AB29" s="191">
        <v>2610</v>
      </c>
      <c r="AC29" s="179">
        <v>2938.8999999999996</v>
      </c>
      <c r="AD29" s="176">
        <v>2989.2</v>
      </c>
      <c r="AE29" s="177">
        <v>512.20000000000005</v>
      </c>
      <c r="AF29" s="510">
        <v>3857.4000000000005</v>
      </c>
      <c r="AG29" s="179" t="s">
        <v>322</v>
      </c>
      <c r="AH29" s="176">
        <v>4188.5</v>
      </c>
      <c r="AI29" s="177">
        <v>4045.2</v>
      </c>
      <c r="AJ29" s="510">
        <v>4891.3</v>
      </c>
      <c r="AK29" s="179">
        <v>4433.2</v>
      </c>
      <c r="AL29" s="176">
        <v>5005.8999999999996</v>
      </c>
      <c r="AM29" s="177">
        <v>4539.5</v>
      </c>
      <c r="AN29" s="510">
        <v>5366.8</v>
      </c>
      <c r="AO29" s="179"/>
      <c r="AP29" s="86"/>
      <c r="AQ29" s="86"/>
      <c r="AR29" s="86"/>
      <c r="AS29" s="86"/>
      <c r="AT29" s="86"/>
      <c r="AU29" s="86"/>
      <c r="AV29" s="86"/>
      <c r="AW29" s="86"/>
      <c r="AX29" s="86"/>
      <c r="AY29" s="86"/>
      <c r="AZ29" s="86"/>
      <c r="BA29" s="86"/>
      <c r="BB29" s="86"/>
      <c r="BC29" s="86"/>
      <c r="BD29" s="86"/>
      <c r="BE29" s="86"/>
      <c r="BF29" s="86"/>
      <c r="BG29" s="86"/>
      <c r="BH29" s="86"/>
      <c r="BI29" s="86"/>
      <c r="BJ29" s="86"/>
      <c r="BK29" s="86"/>
      <c r="BL29" s="86"/>
      <c r="BM29" s="86"/>
      <c r="BN29" s="86"/>
      <c r="BO29" s="86"/>
      <c r="BP29" s="86"/>
      <c r="BQ29" s="86"/>
      <c r="BR29" s="86"/>
      <c r="BS29" s="86"/>
      <c r="BT29" s="86"/>
      <c r="BU29" s="86"/>
      <c r="BV29" s="86"/>
    </row>
    <row r="30" spans="1:74" ht="20.25" customHeight="1" thickTop="1">
      <c r="A30" s="85" t="s">
        <v>152</v>
      </c>
      <c r="B30" s="85" t="s">
        <v>153</v>
      </c>
      <c r="C30" s="94">
        <v>0</v>
      </c>
      <c r="D30" s="95">
        <v>0</v>
      </c>
      <c r="E30" s="96">
        <v>0</v>
      </c>
      <c r="F30" s="99">
        <v>0</v>
      </c>
      <c r="G30" s="98">
        <v>0</v>
      </c>
      <c r="H30" s="98">
        <v>0</v>
      </c>
      <c r="I30" s="96">
        <v>0</v>
      </c>
      <c r="J30" s="99">
        <v>0</v>
      </c>
      <c r="K30" s="98">
        <v>0</v>
      </c>
      <c r="L30" s="98">
        <v>0</v>
      </c>
      <c r="M30" s="96">
        <v>518.20000000000005</v>
      </c>
      <c r="N30" s="100">
        <v>65.8</v>
      </c>
      <c r="O30" s="102">
        <v>0</v>
      </c>
      <c r="P30" s="105">
        <v>0</v>
      </c>
      <c r="Q30" s="101">
        <v>0</v>
      </c>
      <c r="R30" s="100">
        <v>0</v>
      </c>
      <c r="S30" s="102">
        <v>300.3</v>
      </c>
      <c r="T30" s="105">
        <v>278.3</v>
      </c>
      <c r="U30" s="101" t="s">
        <v>92</v>
      </c>
      <c r="V30" s="100">
        <v>0</v>
      </c>
      <c r="W30" s="102">
        <v>281.60000000000002</v>
      </c>
      <c r="X30" s="105">
        <v>276.8</v>
      </c>
      <c r="Y30" s="101">
        <v>205.7</v>
      </c>
      <c r="Z30" s="100">
        <v>184.8</v>
      </c>
      <c r="AA30" s="102">
        <f>0</f>
        <v>0</v>
      </c>
      <c r="AB30" s="105">
        <v>0</v>
      </c>
      <c r="AC30" s="101">
        <v>0</v>
      </c>
      <c r="AD30" s="100">
        <v>65.8</v>
      </c>
      <c r="AE30" s="102">
        <v>0</v>
      </c>
      <c r="AF30" s="509">
        <v>0</v>
      </c>
      <c r="AG30" s="101">
        <v>0</v>
      </c>
      <c r="AH30" s="100">
        <v>0</v>
      </c>
      <c r="AI30" s="102">
        <v>0</v>
      </c>
      <c r="AJ30" s="509">
        <v>0</v>
      </c>
      <c r="AK30" s="101">
        <v>0</v>
      </c>
      <c r="AL30" s="100">
        <v>0</v>
      </c>
      <c r="AM30" s="102"/>
      <c r="AN30" s="509"/>
      <c r="AO30" s="101"/>
      <c r="AP30" s="86"/>
      <c r="AQ30" s="86"/>
      <c r="AR30" s="86"/>
      <c r="AS30" s="86"/>
      <c r="AT30" s="86"/>
      <c r="AU30" s="86"/>
      <c r="AV30" s="86"/>
      <c r="AW30" s="86"/>
      <c r="AX30" s="86"/>
      <c r="AY30" s="86"/>
      <c r="AZ30" s="86"/>
      <c r="BA30" s="86"/>
      <c r="BB30" s="86"/>
      <c r="BC30" s="86"/>
      <c r="BD30" s="86"/>
      <c r="BE30" s="86"/>
      <c r="BF30" s="86"/>
      <c r="BG30" s="86"/>
      <c r="BH30" s="86"/>
      <c r="BI30" s="86"/>
      <c r="BJ30" s="86"/>
      <c r="BK30" s="86"/>
      <c r="BL30" s="86"/>
      <c r="BM30" s="86"/>
      <c r="BN30" s="86"/>
      <c r="BO30" s="86"/>
      <c r="BP30" s="86"/>
      <c r="BQ30" s="86"/>
      <c r="BR30" s="86"/>
      <c r="BS30" s="86"/>
      <c r="BT30" s="86"/>
      <c r="BU30" s="86"/>
      <c r="BV30" s="86"/>
    </row>
    <row r="31" spans="1:74" ht="20.25" customHeight="1" thickBot="1">
      <c r="A31" s="190" t="s">
        <v>154</v>
      </c>
      <c r="B31" s="190" t="s">
        <v>155</v>
      </c>
      <c r="C31" s="170">
        <v>1482.4</v>
      </c>
      <c r="D31" s="171">
        <v>1589.8</v>
      </c>
      <c r="E31" s="172">
        <v>1429.7999999999997</v>
      </c>
      <c r="F31" s="175">
        <v>1958.8000000000002</v>
      </c>
      <c r="G31" s="174">
        <v>2093.6999999999998</v>
      </c>
      <c r="H31" s="174">
        <v>1828.3000000000002</v>
      </c>
      <c r="I31" s="172">
        <v>2201.6</v>
      </c>
      <c r="J31" s="175">
        <v>4687.8999999999996</v>
      </c>
      <c r="K31" s="174">
        <v>5782.4000000000005</v>
      </c>
      <c r="L31" s="174">
        <v>5651.3</v>
      </c>
      <c r="M31" s="172">
        <v>5588.2000000000007</v>
      </c>
      <c r="N31" s="176">
        <v>5928.4</v>
      </c>
      <c r="O31" s="177">
        <v>6171.3</v>
      </c>
      <c r="P31" s="191">
        <v>6388.1</v>
      </c>
      <c r="Q31" s="179">
        <v>6054.1</v>
      </c>
      <c r="R31" s="176">
        <v>6464.6</v>
      </c>
      <c r="S31" s="177">
        <v>6088.1</v>
      </c>
      <c r="T31" s="191">
        <v>6199.4999999999991</v>
      </c>
      <c r="U31" s="179" t="s">
        <v>92</v>
      </c>
      <c r="V31" s="176">
        <v>6594.5999999999995</v>
      </c>
      <c r="W31" s="177">
        <v>6007.1999999999989</v>
      </c>
      <c r="X31" s="191">
        <v>6190.2999999999993</v>
      </c>
      <c r="Y31" s="179">
        <v>6337.6</v>
      </c>
      <c r="Z31" s="176">
        <v>5806.4000000000005</v>
      </c>
      <c r="AA31" s="177">
        <v>6276.9</v>
      </c>
      <c r="AB31" s="191">
        <v>6032.2999999999993</v>
      </c>
      <c r="AC31" s="179">
        <v>6349.1</v>
      </c>
      <c r="AD31" s="176">
        <v>6343</v>
      </c>
      <c r="AE31" s="177">
        <v>6653.8</v>
      </c>
      <c r="AF31" s="510">
        <v>6678.8000000000011</v>
      </c>
      <c r="AG31" s="179" t="s">
        <v>320</v>
      </c>
      <c r="AH31" s="176">
        <v>6696</v>
      </c>
      <c r="AI31" s="177">
        <v>6321</v>
      </c>
      <c r="AJ31" s="510">
        <v>6945.2</v>
      </c>
      <c r="AK31" s="179">
        <v>6392.5</v>
      </c>
      <c r="AL31" s="176">
        <v>6894.8</v>
      </c>
      <c r="AM31" s="177">
        <v>7107</v>
      </c>
      <c r="AN31" s="510">
        <v>7815</v>
      </c>
      <c r="AO31" s="179"/>
      <c r="AP31" s="86"/>
      <c r="AQ31" s="86"/>
      <c r="AR31" s="86"/>
      <c r="AS31" s="86"/>
      <c r="AT31" s="86"/>
      <c r="AU31" s="86"/>
      <c r="AV31" s="86"/>
      <c r="AW31" s="86"/>
      <c r="AX31" s="86"/>
      <c r="AY31" s="86"/>
      <c r="AZ31" s="86"/>
      <c r="BA31" s="86"/>
      <c r="BB31" s="86"/>
      <c r="BC31" s="86"/>
      <c r="BD31" s="86"/>
      <c r="BE31" s="86"/>
      <c r="BF31" s="86"/>
      <c r="BG31" s="86"/>
      <c r="BH31" s="86"/>
      <c r="BI31" s="86"/>
      <c r="BJ31" s="86"/>
      <c r="BK31" s="86"/>
      <c r="BL31" s="86"/>
      <c r="BM31" s="86"/>
      <c r="BN31" s="86"/>
      <c r="BO31" s="86"/>
      <c r="BP31" s="86"/>
      <c r="BQ31" s="86"/>
      <c r="BR31" s="86"/>
      <c r="BS31" s="86"/>
      <c r="BT31" s="86"/>
      <c r="BU31" s="86"/>
      <c r="BV31" s="86"/>
    </row>
    <row r="32" spans="1:74" ht="20.25" customHeight="1" thickTop="1" thickBot="1">
      <c r="A32" s="194" t="s">
        <v>156</v>
      </c>
      <c r="B32" s="194" t="s">
        <v>157</v>
      </c>
      <c r="C32" s="195">
        <v>951</v>
      </c>
      <c r="D32" s="196">
        <v>1007.1</v>
      </c>
      <c r="E32" s="197">
        <v>971.09999999999991</v>
      </c>
      <c r="F32" s="198">
        <v>941.3</v>
      </c>
      <c r="G32" s="199">
        <v>983.69999999999993</v>
      </c>
      <c r="H32" s="199">
        <v>1026</v>
      </c>
      <c r="I32" s="197">
        <v>1168.3000000000002</v>
      </c>
      <c r="J32" s="198">
        <v>1035.1000000000001</v>
      </c>
      <c r="K32" s="199">
        <v>1166.3</v>
      </c>
      <c r="L32" s="199">
        <v>1126.4000000000001</v>
      </c>
      <c r="M32" s="197">
        <v>1147.8000000000002</v>
      </c>
      <c r="N32" s="200">
        <v>991.90000000000009</v>
      </c>
      <c r="O32" s="201">
        <v>1022.0000000000001</v>
      </c>
      <c r="P32" s="202">
        <v>980.8</v>
      </c>
      <c r="Q32" s="203">
        <v>1089.6000000000001</v>
      </c>
      <c r="R32" s="200">
        <v>750.09999999999991</v>
      </c>
      <c r="S32" s="201">
        <v>654.60000000000014</v>
      </c>
      <c r="T32" s="202">
        <v>598.70000000000005</v>
      </c>
      <c r="U32" s="203" t="s">
        <v>92</v>
      </c>
      <c r="V32" s="200">
        <v>597.80000000000007</v>
      </c>
      <c r="W32" s="201">
        <v>669.60000000000014</v>
      </c>
      <c r="X32" s="202">
        <v>633.20000000000016</v>
      </c>
      <c r="Y32" s="203">
        <v>309.8</v>
      </c>
      <c r="Z32" s="200">
        <v>883.2</v>
      </c>
      <c r="AA32" s="201">
        <v>769.3</v>
      </c>
      <c r="AB32" s="202">
        <v>1300.7</v>
      </c>
      <c r="AC32" s="203">
        <v>1151.6000000000001</v>
      </c>
      <c r="AD32" s="200">
        <v>956.7</v>
      </c>
      <c r="AE32" s="201">
        <v>930.7</v>
      </c>
      <c r="AF32" s="511">
        <v>857.5999999999998</v>
      </c>
      <c r="AG32" s="203">
        <v>582.70000000000005</v>
      </c>
      <c r="AH32" s="200">
        <v>648.79999999999927</v>
      </c>
      <c r="AI32" s="201">
        <v>939.5</v>
      </c>
      <c r="AJ32" s="511">
        <v>933</v>
      </c>
      <c r="AK32" s="203">
        <v>953.49999999999989</v>
      </c>
      <c r="AL32" s="200">
        <v>1003.3</v>
      </c>
      <c r="AM32" s="201">
        <v>1242.9999999999998</v>
      </c>
      <c r="AN32" s="511">
        <v>1398.6999999999998</v>
      </c>
      <c r="AO32" s="203"/>
      <c r="AP32" s="86"/>
      <c r="AQ32" s="86"/>
      <c r="AR32" s="86"/>
      <c r="AS32" s="86"/>
      <c r="AT32" s="86"/>
      <c r="AU32" s="86"/>
      <c r="AV32" s="86"/>
      <c r="AW32" s="86"/>
      <c r="AX32" s="86"/>
      <c r="AY32" s="86"/>
      <c r="AZ32" s="86"/>
      <c r="BA32" s="86"/>
      <c r="BB32" s="86"/>
      <c r="BC32" s="86"/>
      <c r="BD32" s="86"/>
      <c r="BE32" s="86"/>
      <c r="BF32" s="86"/>
      <c r="BG32" s="86"/>
      <c r="BH32" s="86"/>
      <c r="BI32" s="86"/>
      <c r="BJ32" s="86"/>
      <c r="BK32" s="86"/>
      <c r="BL32" s="86"/>
      <c r="BM32" s="86"/>
      <c r="BN32" s="86"/>
      <c r="BO32" s="86"/>
      <c r="BP32" s="86"/>
      <c r="BQ32" s="86"/>
      <c r="BR32" s="86"/>
      <c r="BS32" s="86"/>
      <c r="BT32" s="86"/>
      <c r="BU32" s="86"/>
      <c r="BV32" s="86"/>
    </row>
    <row r="33" spans="1:74" ht="20.25" customHeight="1" thickBot="1">
      <c r="A33" s="192" t="s">
        <v>158</v>
      </c>
      <c r="B33" s="192" t="s">
        <v>155</v>
      </c>
      <c r="C33" s="181">
        <v>2433.4</v>
      </c>
      <c r="D33" s="182">
        <v>2596.8999999999996</v>
      </c>
      <c r="E33" s="183">
        <v>2400.8999999999996</v>
      </c>
      <c r="F33" s="184">
        <v>2900.1</v>
      </c>
      <c r="G33" s="185">
        <v>3077.3999999999996</v>
      </c>
      <c r="H33" s="185">
        <v>2854.3</v>
      </c>
      <c r="I33" s="183">
        <v>3369.9</v>
      </c>
      <c r="J33" s="184">
        <v>5723</v>
      </c>
      <c r="K33" s="185">
        <v>6948.7000000000007</v>
      </c>
      <c r="L33" s="185">
        <v>6777.7000000000007</v>
      </c>
      <c r="M33" s="183">
        <v>6736.0000000000009</v>
      </c>
      <c r="N33" s="184">
        <v>6920.2999999999993</v>
      </c>
      <c r="O33" s="187">
        <v>7193.3</v>
      </c>
      <c r="P33" s="193">
        <v>7368.9</v>
      </c>
      <c r="Q33" s="188">
        <v>7143.7000000000007</v>
      </c>
      <c r="R33" s="186">
        <v>7214.7000000000007</v>
      </c>
      <c r="S33" s="187">
        <v>6742.7000000000007</v>
      </c>
      <c r="T33" s="189">
        <v>6798.1999999999989</v>
      </c>
      <c r="U33" s="188" t="s">
        <v>92</v>
      </c>
      <c r="V33" s="186">
        <v>7192.4</v>
      </c>
      <c r="W33" s="187">
        <v>6676.7999999999993</v>
      </c>
      <c r="X33" s="189">
        <v>6823.4999999999991</v>
      </c>
      <c r="Y33" s="188">
        <v>6647.4</v>
      </c>
      <c r="Z33" s="186">
        <v>6689.6</v>
      </c>
      <c r="AA33" s="187">
        <v>7046.2</v>
      </c>
      <c r="AB33" s="189">
        <v>7332.9999999999991</v>
      </c>
      <c r="AC33" s="188">
        <v>7500.7000000000007</v>
      </c>
      <c r="AD33" s="186">
        <v>7299.7</v>
      </c>
      <c r="AE33" s="187">
        <v>7584.5</v>
      </c>
      <c r="AF33" s="189">
        <v>7536.4000000000005</v>
      </c>
      <c r="AG33" s="188" t="s">
        <v>323</v>
      </c>
      <c r="AH33" s="186">
        <v>7344.8</v>
      </c>
      <c r="AI33" s="187">
        <v>7260.5</v>
      </c>
      <c r="AJ33" s="189">
        <v>7878.2</v>
      </c>
      <c r="AK33" s="188">
        <v>7346</v>
      </c>
      <c r="AL33" s="186">
        <v>7898.1</v>
      </c>
      <c r="AM33" s="187">
        <v>8350</v>
      </c>
      <c r="AN33" s="189">
        <v>9213.7000000000007</v>
      </c>
      <c r="AO33" s="188"/>
      <c r="AP33" s="86"/>
      <c r="AQ33" s="86"/>
      <c r="AR33" s="86"/>
      <c r="AS33" s="86"/>
      <c r="AT33" s="86"/>
      <c r="AU33" s="86"/>
      <c r="AV33" s="86"/>
      <c r="AW33" s="86"/>
      <c r="AX33" s="86"/>
      <c r="AY33" s="86"/>
      <c r="AZ33" s="86"/>
      <c r="BA33" s="86"/>
      <c r="BB33" s="86"/>
      <c r="BC33" s="86"/>
      <c r="BD33" s="86"/>
      <c r="BE33" s="86"/>
      <c r="BF33" s="86"/>
      <c r="BG33" s="86"/>
      <c r="BH33" s="86"/>
      <c r="BI33" s="86"/>
      <c r="BJ33" s="86"/>
      <c r="BK33" s="86"/>
      <c r="BL33" s="86"/>
      <c r="BM33" s="86"/>
      <c r="BN33" s="86"/>
      <c r="BO33" s="86"/>
      <c r="BP33" s="86"/>
      <c r="BQ33" s="86"/>
      <c r="BR33" s="86"/>
      <c r="BS33" s="86"/>
      <c r="BT33" s="86"/>
      <c r="BU33" s="86"/>
      <c r="BV33" s="86"/>
    </row>
    <row r="34" spans="1:74" ht="20.25" customHeight="1" thickTop="1">
      <c r="A34" s="86"/>
      <c r="B34" s="86"/>
      <c r="C34" s="86"/>
      <c r="D34" s="86"/>
      <c r="E34" s="86"/>
      <c r="F34" s="86"/>
      <c r="G34" s="86"/>
      <c r="H34" s="86"/>
      <c r="I34" s="86"/>
      <c r="J34" s="86"/>
      <c r="K34" s="86"/>
      <c r="L34" s="86"/>
      <c r="M34" s="86"/>
      <c r="N34" s="86"/>
      <c r="O34" s="86"/>
      <c r="P34" s="86"/>
      <c r="Q34" s="86"/>
      <c r="R34" s="86"/>
      <c r="S34" s="86"/>
      <c r="T34" s="106"/>
      <c r="U34" s="86"/>
      <c r="V34" s="86"/>
      <c r="W34" s="86"/>
      <c r="X34" s="86"/>
      <c r="Y34" s="86"/>
      <c r="Z34" s="86"/>
      <c r="AA34" s="86"/>
      <c r="AB34" s="86"/>
      <c r="AC34" s="86"/>
      <c r="AD34" s="86"/>
      <c r="AE34" s="86"/>
      <c r="AF34" s="512"/>
      <c r="AG34" s="86"/>
      <c r="AH34" s="86"/>
      <c r="AI34" s="86"/>
      <c r="AJ34" s="86"/>
      <c r="AK34" s="86"/>
      <c r="AL34" s="86"/>
      <c r="AM34" s="86"/>
      <c r="AN34" s="86"/>
      <c r="AO34" s="86"/>
      <c r="AP34" s="86"/>
      <c r="AQ34" s="86"/>
      <c r="AR34" s="86"/>
      <c r="AS34" s="86"/>
      <c r="AT34" s="86"/>
      <c r="AU34" s="86"/>
      <c r="AV34" s="86"/>
      <c r="AW34" s="86"/>
      <c r="AX34" s="86"/>
      <c r="AY34" s="86"/>
      <c r="AZ34" s="86"/>
      <c r="BA34" s="86"/>
      <c r="BB34" s="86"/>
      <c r="BC34" s="86"/>
      <c r="BD34" s="86"/>
      <c r="BE34" s="86"/>
      <c r="BF34" s="86"/>
      <c r="BG34" s="86"/>
      <c r="BH34" s="86"/>
      <c r="BI34" s="86"/>
      <c r="BJ34" s="86"/>
      <c r="BK34" s="86"/>
      <c r="BL34" s="86"/>
      <c r="BM34" s="86"/>
      <c r="BN34" s="86"/>
      <c r="BO34" s="86"/>
      <c r="BP34" s="86"/>
      <c r="BQ34" s="86"/>
      <c r="BR34" s="86"/>
      <c r="BS34" s="86"/>
      <c r="BT34" s="86"/>
      <c r="BU34" s="86"/>
      <c r="BV34" s="86"/>
    </row>
    <row r="35" spans="1:74">
      <c r="A35" s="86"/>
      <c r="B35" s="86"/>
      <c r="C35" s="86"/>
      <c r="D35" s="86"/>
      <c r="E35" s="86"/>
      <c r="F35" s="86"/>
      <c r="G35" s="86"/>
      <c r="H35" s="86"/>
      <c r="I35" s="86"/>
      <c r="J35" s="86"/>
      <c r="K35" s="86"/>
      <c r="L35" s="86"/>
      <c r="M35" s="86"/>
      <c r="N35" s="86"/>
      <c r="O35" s="86"/>
      <c r="P35" s="86"/>
      <c r="Q35" s="86"/>
      <c r="R35" s="86"/>
      <c r="S35" s="86"/>
      <c r="T35" s="106"/>
      <c r="U35" s="86"/>
      <c r="V35" s="86"/>
      <c r="W35" s="86"/>
      <c r="X35" s="86"/>
      <c r="Y35" s="86"/>
      <c r="Z35" s="86"/>
      <c r="AA35" s="86"/>
      <c r="AB35" s="86"/>
      <c r="AC35" s="86"/>
      <c r="AD35" s="86"/>
      <c r="AE35" s="86"/>
      <c r="AF35" s="512"/>
      <c r="AG35" s="86"/>
      <c r="AH35" s="86"/>
      <c r="AI35" s="86"/>
      <c r="AJ35" s="86"/>
      <c r="AK35" s="86"/>
      <c r="AL35" s="86"/>
      <c r="AM35" s="86"/>
      <c r="AN35" s="86"/>
      <c r="AO35" s="86"/>
      <c r="AP35" s="86"/>
      <c r="AQ35" s="86"/>
      <c r="AR35" s="86"/>
      <c r="AS35" s="86"/>
      <c r="AT35" s="86"/>
      <c r="AU35" s="86"/>
      <c r="AV35" s="86"/>
      <c r="AW35" s="86"/>
      <c r="AX35" s="86"/>
      <c r="AY35" s="86"/>
      <c r="AZ35" s="86"/>
      <c r="BA35" s="86"/>
      <c r="BB35" s="86"/>
      <c r="BC35" s="86"/>
      <c r="BD35" s="86"/>
      <c r="BE35" s="86"/>
      <c r="BF35" s="86"/>
      <c r="BG35" s="86"/>
      <c r="BH35" s="86"/>
      <c r="BI35" s="86"/>
      <c r="BJ35" s="86"/>
      <c r="BK35" s="86"/>
      <c r="BL35" s="86"/>
      <c r="BM35" s="86"/>
      <c r="BN35" s="86"/>
      <c r="BO35" s="86"/>
      <c r="BP35" s="86"/>
      <c r="BQ35" s="86"/>
      <c r="BR35" s="86"/>
      <c r="BS35" s="86"/>
      <c r="BT35" s="86"/>
      <c r="BU35" s="86"/>
      <c r="BV35" s="86"/>
    </row>
    <row r="36" spans="1:74" ht="72">
      <c r="A36" s="86"/>
      <c r="B36" s="82" t="s">
        <v>264</v>
      </c>
      <c r="C36" s="86"/>
      <c r="D36" s="86"/>
      <c r="E36" s="86"/>
      <c r="F36" s="86"/>
      <c r="G36" s="86"/>
      <c r="H36" s="86"/>
      <c r="I36" s="86"/>
      <c r="J36" s="86"/>
      <c r="K36" s="86"/>
      <c r="L36" s="86"/>
      <c r="M36" s="86"/>
      <c r="N36" s="86"/>
      <c r="O36" s="86"/>
      <c r="P36" s="86"/>
      <c r="Q36" s="86"/>
      <c r="R36" s="86"/>
      <c r="S36" s="86"/>
      <c r="T36" s="106"/>
      <c r="U36" s="86"/>
      <c r="V36" s="86"/>
      <c r="W36" s="86"/>
      <c r="X36" s="86"/>
      <c r="Y36" s="86"/>
      <c r="Z36" s="86"/>
      <c r="AA36" s="86"/>
      <c r="AB36" s="86"/>
      <c r="AC36" s="86"/>
      <c r="AD36" s="86"/>
      <c r="AE36" s="86"/>
      <c r="AF36" s="512"/>
      <c r="AG36" s="86"/>
      <c r="AH36" s="86"/>
      <c r="AI36" s="86"/>
      <c r="AJ36" s="86"/>
      <c r="AK36" s="86"/>
      <c r="AL36" s="86"/>
      <c r="AM36" s="86"/>
      <c r="AN36" s="86"/>
      <c r="AO36" s="86"/>
      <c r="AP36" s="86"/>
      <c r="AQ36" s="86"/>
      <c r="AR36" s="86"/>
      <c r="AS36" s="86"/>
      <c r="AT36" s="86"/>
      <c r="AU36" s="86"/>
      <c r="AV36" s="86"/>
      <c r="AW36" s="86"/>
      <c r="AX36" s="86"/>
      <c r="AY36" s="86"/>
      <c r="AZ36" s="86"/>
      <c r="BA36" s="86"/>
      <c r="BB36" s="86"/>
      <c r="BC36" s="86"/>
      <c r="BD36" s="86"/>
      <c r="BE36" s="86"/>
      <c r="BF36" s="86"/>
      <c r="BG36" s="86"/>
      <c r="BH36" s="86"/>
      <c r="BI36" s="86"/>
      <c r="BJ36" s="86"/>
      <c r="BK36" s="86"/>
      <c r="BL36" s="86"/>
      <c r="BM36" s="86"/>
      <c r="BN36" s="86"/>
      <c r="BO36" s="86"/>
      <c r="BP36" s="86"/>
      <c r="BQ36" s="86"/>
      <c r="BR36" s="86"/>
      <c r="BS36" s="86"/>
      <c r="BT36" s="86"/>
      <c r="BU36" s="86"/>
      <c r="BV36" s="86"/>
    </row>
    <row r="37" spans="1:74">
      <c r="A37" s="86"/>
      <c r="B37" s="86"/>
      <c r="C37" s="86"/>
      <c r="D37" s="86"/>
      <c r="E37" s="86"/>
      <c r="F37" s="86"/>
      <c r="G37" s="86"/>
      <c r="H37" s="86"/>
      <c r="I37" s="86"/>
      <c r="J37" s="86"/>
      <c r="K37" s="86"/>
      <c r="L37" s="86"/>
      <c r="M37" s="86"/>
      <c r="N37" s="86"/>
      <c r="O37" s="86"/>
      <c r="P37" s="86"/>
      <c r="Q37" s="86"/>
      <c r="R37" s="86"/>
      <c r="S37" s="86"/>
      <c r="T37" s="106"/>
      <c r="U37" s="86"/>
      <c r="V37" s="86"/>
      <c r="W37" s="86"/>
      <c r="X37" s="86"/>
      <c r="Y37" s="86"/>
      <c r="Z37" s="86"/>
      <c r="AA37" s="86"/>
      <c r="AB37" s="86"/>
      <c r="AC37" s="86"/>
      <c r="AD37" s="86"/>
      <c r="AE37" s="86"/>
      <c r="AF37" s="512"/>
      <c r="AG37" s="86"/>
      <c r="AH37" s="86"/>
      <c r="AI37" s="86"/>
      <c r="AJ37" s="86"/>
      <c r="AK37" s="86"/>
      <c r="AL37" s="86"/>
      <c r="AM37" s="86"/>
      <c r="AN37" s="86"/>
      <c r="AO37" s="86"/>
      <c r="AP37" s="86"/>
      <c r="AQ37" s="86"/>
      <c r="AR37" s="86"/>
      <c r="AS37" s="86"/>
      <c r="AT37" s="86"/>
      <c r="AU37" s="86"/>
      <c r="AV37" s="86"/>
      <c r="AW37" s="86"/>
      <c r="AX37" s="86"/>
      <c r="AY37" s="86"/>
      <c r="AZ37" s="86"/>
      <c r="BA37" s="86"/>
      <c r="BB37" s="86"/>
      <c r="BC37" s="86"/>
      <c r="BD37" s="86"/>
      <c r="BE37" s="86"/>
      <c r="BF37" s="86"/>
      <c r="BG37" s="86"/>
      <c r="BH37" s="86"/>
      <c r="BI37" s="86"/>
      <c r="BJ37" s="86"/>
      <c r="BK37" s="86"/>
      <c r="BL37" s="86"/>
      <c r="BM37" s="86"/>
      <c r="BN37" s="86"/>
      <c r="BO37" s="86"/>
      <c r="BP37" s="86"/>
      <c r="BQ37" s="86"/>
      <c r="BR37" s="86"/>
      <c r="BS37" s="86"/>
      <c r="BT37" s="86"/>
      <c r="BU37" s="86"/>
      <c r="BV37" s="86"/>
    </row>
    <row r="38" spans="1:74">
      <c r="A38" s="86"/>
      <c r="B38" s="86"/>
      <c r="C38" s="86"/>
      <c r="D38" s="86"/>
      <c r="E38" s="86"/>
      <c r="F38" s="86"/>
      <c r="G38" s="86"/>
      <c r="H38" s="86"/>
      <c r="I38" s="86"/>
      <c r="J38" s="86"/>
      <c r="K38" s="86"/>
      <c r="L38" s="86"/>
      <c r="M38" s="86"/>
      <c r="N38" s="86"/>
      <c r="O38" s="86"/>
      <c r="P38" s="86"/>
      <c r="Q38" s="86"/>
      <c r="R38" s="86"/>
      <c r="S38" s="86"/>
      <c r="T38" s="106"/>
      <c r="U38" s="86"/>
      <c r="V38" s="86"/>
      <c r="W38" s="86"/>
      <c r="X38" s="86"/>
      <c r="Y38" s="86"/>
      <c r="Z38" s="86"/>
      <c r="AA38" s="86"/>
      <c r="AB38" s="86"/>
      <c r="AC38" s="86"/>
      <c r="AD38" s="86"/>
      <c r="AE38" s="86"/>
      <c r="AF38" s="512"/>
      <c r="AG38" s="86"/>
      <c r="AH38" s="86"/>
      <c r="AI38" s="86"/>
      <c r="AJ38" s="86"/>
      <c r="AK38" s="86"/>
      <c r="AL38" s="86"/>
      <c r="AM38" s="86"/>
      <c r="AN38" s="86"/>
      <c r="AO38" s="86"/>
      <c r="AP38" s="86"/>
      <c r="AQ38" s="86"/>
      <c r="AR38" s="86"/>
      <c r="AS38" s="86"/>
      <c r="AT38" s="86"/>
      <c r="AU38" s="86"/>
      <c r="AV38" s="86"/>
      <c r="AW38" s="86"/>
      <c r="AX38" s="86"/>
      <c r="AY38" s="86"/>
      <c r="AZ38" s="86"/>
      <c r="BA38" s="86"/>
      <c r="BB38" s="86"/>
      <c r="BC38" s="86"/>
      <c r="BD38" s="86"/>
      <c r="BE38" s="86"/>
      <c r="BF38" s="86"/>
      <c r="BG38" s="86"/>
      <c r="BH38" s="86"/>
      <c r="BI38" s="86"/>
      <c r="BJ38" s="86"/>
      <c r="BK38" s="86"/>
      <c r="BL38" s="86"/>
      <c r="BM38" s="86"/>
      <c r="BN38" s="86"/>
      <c r="BO38" s="86"/>
      <c r="BP38" s="86"/>
      <c r="BQ38" s="86"/>
      <c r="BR38" s="86"/>
      <c r="BS38" s="86"/>
      <c r="BT38" s="86"/>
      <c r="BU38" s="86"/>
      <c r="BV38" s="86"/>
    </row>
    <row r="39" spans="1:74">
      <c r="A39" s="86"/>
      <c r="B39" s="86"/>
      <c r="C39" s="86"/>
      <c r="D39" s="86"/>
      <c r="E39" s="86"/>
      <c r="F39" s="86"/>
      <c r="G39" s="86"/>
      <c r="H39" s="86"/>
      <c r="I39" s="86"/>
      <c r="J39" s="86"/>
      <c r="K39" s="86"/>
      <c r="L39" s="86"/>
      <c r="M39" s="86"/>
      <c r="N39" s="86"/>
      <c r="O39" s="86"/>
      <c r="P39" s="86"/>
      <c r="Q39" s="86"/>
      <c r="R39" s="86"/>
      <c r="S39" s="86"/>
      <c r="T39" s="106"/>
      <c r="U39" s="86"/>
      <c r="V39" s="86"/>
      <c r="W39" s="86"/>
      <c r="X39" s="86"/>
      <c r="Y39" s="86"/>
      <c r="Z39" s="86"/>
      <c r="AA39" s="86"/>
      <c r="AB39" s="86"/>
      <c r="AC39" s="86"/>
      <c r="AD39" s="86"/>
      <c r="AE39" s="86"/>
      <c r="AF39" s="512"/>
      <c r="AG39" s="86"/>
      <c r="AH39" s="86"/>
      <c r="AI39" s="86"/>
      <c r="AJ39" s="86"/>
      <c r="AK39" s="86"/>
      <c r="AL39" s="86"/>
      <c r="AM39" s="86"/>
      <c r="AN39" s="86"/>
      <c r="AO39" s="86"/>
      <c r="AP39" s="86"/>
      <c r="AQ39" s="86"/>
      <c r="AR39" s="86"/>
      <c r="AS39" s="86"/>
      <c r="AT39" s="86"/>
      <c r="AU39" s="86"/>
      <c r="AV39" s="86"/>
      <c r="AW39" s="86"/>
      <c r="AX39" s="86"/>
      <c r="AY39" s="86"/>
      <c r="AZ39" s="86"/>
      <c r="BA39" s="86"/>
      <c r="BB39" s="86"/>
      <c r="BC39" s="86"/>
      <c r="BD39" s="86"/>
      <c r="BE39" s="86"/>
      <c r="BF39" s="86"/>
      <c r="BG39" s="86"/>
      <c r="BH39" s="86"/>
      <c r="BI39" s="86"/>
      <c r="BJ39" s="86"/>
      <c r="BK39" s="86"/>
      <c r="BL39" s="86"/>
      <c r="BM39" s="86"/>
      <c r="BN39" s="86"/>
      <c r="BO39" s="86"/>
      <c r="BP39" s="86"/>
      <c r="BQ39" s="86"/>
      <c r="BR39" s="86"/>
      <c r="BS39" s="86"/>
      <c r="BT39" s="86"/>
      <c r="BU39" s="86"/>
      <c r="BV39" s="86"/>
    </row>
    <row r="40" spans="1:74">
      <c r="A40" s="86"/>
      <c r="B40" s="86"/>
      <c r="C40" s="86"/>
      <c r="D40" s="86"/>
      <c r="E40" s="86"/>
      <c r="F40" s="86"/>
      <c r="G40" s="86"/>
      <c r="H40" s="86"/>
      <c r="I40" s="86"/>
      <c r="J40" s="86"/>
      <c r="K40" s="86"/>
      <c r="L40" s="86"/>
      <c r="M40" s="86"/>
      <c r="N40" s="86"/>
      <c r="O40" s="86"/>
      <c r="P40" s="86"/>
      <c r="Q40" s="86"/>
      <c r="R40" s="86"/>
      <c r="S40" s="86"/>
      <c r="T40" s="106"/>
      <c r="U40" s="86"/>
      <c r="V40" s="86"/>
      <c r="W40" s="86"/>
      <c r="X40" s="86"/>
      <c r="Y40" s="86"/>
      <c r="Z40" s="86"/>
      <c r="AA40" s="86"/>
      <c r="AB40" s="86"/>
      <c r="AC40" s="86"/>
      <c r="AD40" s="86"/>
      <c r="AE40" s="86"/>
      <c r="AF40" s="512"/>
      <c r="AG40" s="86"/>
      <c r="AH40" s="86"/>
      <c r="AI40" s="86"/>
      <c r="AJ40" s="86"/>
      <c r="AK40" s="86"/>
      <c r="AL40" s="86"/>
      <c r="AM40" s="86"/>
      <c r="AN40" s="86"/>
      <c r="AO40" s="86"/>
      <c r="AP40" s="86"/>
      <c r="AQ40" s="86"/>
      <c r="AR40" s="86"/>
      <c r="AS40" s="86"/>
      <c r="AT40" s="86"/>
      <c r="AU40" s="86"/>
      <c r="AV40" s="86"/>
      <c r="AW40" s="86"/>
      <c r="AX40" s="86"/>
      <c r="AY40" s="86"/>
      <c r="AZ40" s="86"/>
      <c r="BA40" s="86"/>
      <c r="BB40" s="86"/>
      <c r="BC40" s="86"/>
      <c r="BD40" s="86"/>
      <c r="BE40" s="86"/>
      <c r="BF40" s="86"/>
      <c r="BG40" s="86"/>
      <c r="BH40" s="86"/>
      <c r="BI40" s="86"/>
      <c r="BJ40" s="86"/>
      <c r="BK40" s="86"/>
      <c r="BL40" s="86"/>
      <c r="BM40" s="86"/>
      <c r="BN40" s="86"/>
      <c r="BO40" s="86"/>
      <c r="BP40" s="86"/>
      <c r="BQ40" s="86"/>
      <c r="BR40" s="86"/>
      <c r="BS40" s="86"/>
      <c r="BT40" s="86"/>
      <c r="BU40" s="86"/>
      <c r="BV40" s="86"/>
    </row>
    <row r="41" spans="1:74">
      <c r="A41" s="86"/>
      <c r="B41" s="86"/>
      <c r="C41" s="86"/>
      <c r="D41" s="86"/>
      <c r="E41" s="86"/>
      <c r="F41" s="86"/>
      <c r="G41" s="86"/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106"/>
      <c r="U41" s="86"/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512"/>
      <c r="AG41" s="86"/>
      <c r="AH41" s="86"/>
      <c r="AI41" s="86"/>
      <c r="AJ41" s="86"/>
      <c r="AK41" s="86"/>
      <c r="AL41" s="86"/>
      <c r="AM41" s="86"/>
      <c r="AN41" s="86"/>
      <c r="AO41" s="86"/>
      <c r="AP41" s="86"/>
      <c r="AQ41" s="86"/>
      <c r="AR41" s="86"/>
      <c r="AS41" s="86"/>
      <c r="AT41" s="86"/>
      <c r="AU41" s="86"/>
      <c r="AV41" s="86"/>
      <c r="AW41" s="86"/>
      <c r="AX41" s="86"/>
      <c r="AY41" s="86"/>
      <c r="AZ41" s="86"/>
      <c r="BA41" s="86"/>
      <c r="BB41" s="86"/>
      <c r="BC41" s="86"/>
      <c r="BD41" s="86"/>
      <c r="BE41" s="86"/>
      <c r="BF41" s="86"/>
      <c r="BG41" s="86"/>
      <c r="BH41" s="86"/>
      <c r="BI41" s="86"/>
      <c r="BJ41" s="86"/>
      <c r="BK41" s="86"/>
      <c r="BL41" s="86"/>
      <c r="BM41" s="86"/>
      <c r="BN41" s="86"/>
      <c r="BO41" s="86"/>
      <c r="BP41" s="86"/>
      <c r="BQ41" s="86"/>
      <c r="BR41" s="86"/>
      <c r="BS41" s="86"/>
      <c r="BT41" s="86"/>
      <c r="BU41" s="86"/>
      <c r="BV41" s="86"/>
    </row>
    <row r="42" spans="1:74">
      <c r="A42" s="86"/>
      <c r="B42" s="86"/>
      <c r="C42" s="86"/>
      <c r="D42" s="86"/>
      <c r="E42" s="86"/>
      <c r="F42" s="86"/>
      <c r="G42" s="86"/>
      <c r="H42" s="86"/>
      <c r="I42" s="86"/>
      <c r="J42" s="86"/>
      <c r="K42" s="86"/>
      <c r="L42" s="86"/>
      <c r="M42" s="86"/>
      <c r="N42" s="86"/>
      <c r="O42" s="86"/>
      <c r="P42" s="86"/>
      <c r="Q42" s="86"/>
      <c r="R42" s="86"/>
      <c r="S42" s="86"/>
      <c r="T42" s="106"/>
      <c r="U42" s="86"/>
      <c r="V42" s="86"/>
      <c r="W42" s="86"/>
      <c r="X42" s="86"/>
      <c r="Y42" s="86"/>
      <c r="Z42" s="86"/>
      <c r="AA42" s="86"/>
      <c r="AB42" s="86"/>
      <c r="AC42" s="86"/>
      <c r="AD42" s="86"/>
      <c r="AE42" s="86"/>
      <c r="AF42" s="512"/>
      <c r="AG42" s="86"/>
      <c r="AH42" s="86"/>
      <c r="AI42" s="86"/>
      <c r="AJ42" s="86"/>
      <c r="AK42" s="86"/>
      <c r="AL42" s="86"/>
      <c r="AM42" s="86"/>
      <c r="AN42" s="86"/>
      <c r="AO42" s="86"/>
      <c r="AP42" s="86"/>
      <c r="AQ42" s="86"/>
      <c r="AR42" s="86"/>
      <c r="AS42" s="86"/>
      <c r="AT42" s="86"/>
      <c r="AU42" s="86"/>
      <c r="AV42" s="86"/>
      <c r="AW42" s="86"/>
      <c r="AX42" s="86"/>
      <c r="AY42" s="86"/>
      <c r="AZ42" s="86"/>
      <c r="BA42" s="86"/>
      <c r="BB42" s="86"/>
      <c r="BC42" s="86"/>
      <c r="BD42" s="86"/>
      <c r="BE42" s="86"/>
      <c r="BF42" s="86"/>
      <c r="BG42" s="86"/>
      <c r="BH42" s="86"/>
      <c r="BI42" s="86"/>
      <c r="BJ42" s="86"/>
      <c r="BK42" s="86"/>
      <c r="BL42" s="86"/>
      <c r="BM42" s="86"/>
      <c r="BN42" s="86"/>
      <c r="BO42" s="86"/>
      <c r="BP42" s="86"/>
      <c r="BQ42" s="86"/>
      <c r="BR42" s="86"/>
      <c r="BS42" s="86"/>
      <c r="BT42" s="86"/>
      <c r="BU42" s="86"/>
      <c r="BV42" s="86"/>
    </row>
    <row r="43" spans="1:74">
      <c r="A43" s="86"/>
      <c r="B43" s="86"/>
      <c r="C43" s="86"/>
      <c r="D43" s="86"/>
      <c r="E43" s="86"/>
      <c r="F43" s="86"/>
      <c r="G43" s="86"/>
      <c r="H43" s="86"/>
      <c r="I43" s="86"/>
      <c r="J43" s="86"/>
      <c r="K43" s="86"/>
      <c r="L43" s="86"/>
      <c r="M43" s="86"/>
      <c r="N43" s="86"/>
      <c r="O43" s="86"/>
      <c r="P43" s="86"/>
      <c r="Q43" s="86"/>
      <c r="R43" s="86"/>
      <c r="S43" s="86"/>
      <c r="T43" s="106"/>
      <c r="U43" s="86"/>
      <c r="V43" s="86"/>
      <c r="W43" s="86"/>
      <c r="X43" s="86"/>
      <c r="Y43" s="86"/>
      <c r="Z43" s="86"/>
      <c r="AA43" s="86"/>
      <c r="AB43" s="86"/>
      <c r="AC43" s="86"/>
      <c r="AD43" s="86"/>
      <c r="AE43" s="86"/>
      <c r="AF43" s="512"/>
      <c r="AG43" s="86"/>
      <c r="AH43" s="86"/>
      <c r="AI43" s="86"/>
      <c r="AJ43" s="86"/>
      <c r="AK43" s="86"/>
      <c r="AL43" s="86"/>
      <c r="AM43" s="86"/>
      <c r="AN43" s="86"/>
      <c r="AO43" s="86"/>
      <c r="AP43" s="86"/>
      <c r="AQ43" s="86"/>
      <c r="AR43" s="86"/>
      <c r="AS43" s="86"/>
      <c r="AT43" s="86"/>
      <c r="AU43" s="86"/>
      <c r="AV43" s="86"/>
      <c r="AW43" s="86"/>
      <c r="AX43" s="86"/>
      <c r="AY43" s="86"/>
      <c r="AZ43" s="86"/>
      <c r="BA43" s="86"/>
      <c r="BB43" s="86"/>
      <c r="BC43" s="86"/>
      <c r="BD43" s="86"/>
      <c r="BE43" s="86"/>
      <c r="BF43" s="86"/>
      <c r="BG43" s="86"/>
      <c r="BH43" s="86"/>
      <c r="BI43" s="86"/>
      <c r="BJ43" s="86"/>
      <c r="BK43" s="86"/>
      <c r="BL43" s="86"/>
      <c r="BM43" s="86"/>
      <c r="BN43" s="86"/>
      <c r="BO43" s="86"/>
      <c r="BP43" s="86"/>
      <c r="BQ43" s="86"/>
      <c r="BR43" s="86"/>
      <c r="BS43" s="86"/>
      <c r="BT43" s="86"/>
      <c r="BU43" s="86"/>
      <c r="BV43" s="86"/>
    </row>
    <row r="44" spans="1:74">
      <c r="A44" s="86"/>
      <c r="B44" s="86"/>
      <c r="C44" s="86"/>
      <c r="D44" s="86"/>
      <c r="E44" s="86"/>
      <c r="F44" s="86"/>
      <c r="G44" s="86"/>
      <c r="H44" s="86"/>
      <c r="I44" s="86"/>
      <c r="J44" s="86"/>
      <c r="K44" s="86"/>
      <c r="L44" s="86"/>
      <c r="M44" s="86"/>
      <c r="N44" s="86"/>
      <c r="O44" s="86"/>
      <c r="P44" s="86"/>
      <c r="Q44" s="86"/>
      <c r="R44" s="86"/>
      <c r="S44" s="86"/>
      <c r="T44" s="106"/>
      <c r="U44" s="86"/>
      <c r="V44" s="86"/>
      <c r="W44" s="86"/>
      <c r="X44" s="86"/>
      <c r="Y44" s="86"/>
      <c r="Z44" s="86"/>
      <c r="AA44" s="86"/>
      <c r="AB44" s="86"/>
      <c r="AC44" s="86"/>
      <c r="AD44" s="86"/>
      <c r="AE44" s="86"/>
      <c r="AF44" s="512"/>
      <c r="AG44" s="86"/>
      <c r="AH44" s="86"/>
      <c r="AI44" s="86"/>
      <c r="AJ44" s="86"/>
      <c r="AK44" s="86"/>
      <c r="AL44" s="86"/>
      <c r="AM44" s="86"/>
      <c r="AN44" s="86"/>
      <c r="AO44" s="86"/>
      <c r="AP44" s="86"/>
      <c r="AQ44" s="86"/>
      <c r="AR44" s="86"/>
      <c r="AS44" s="86"/>
      <c r="AT44" s="86"/>
      <c r="AU44" s="86"/>
      <c r="AV44" s="86"/>
      <c r="AW44" s="86"/>
      <c r="AX44" s="86"/>
      <c r="AY44" s="86"/>
      <c r="AZ44" s="86"/>
      <c r="BA44" s="86"/>
      <c r="BB44" s="86"/>
      <c r="BC44" s="86"/>
      <c r="BD44" s="86"/>
      <c r="BE44" s="86"/>
      <c r="BF44" s="86"/>
      <c r="BG44" s="86"/>
      <c r="BH44" s="86"/>
      <c r="BI44" s="86"/>
      <c r="BJ44" s="86"/>
      <c r="BK44" s="86"/>
      <c r="BL44" s="86"/>
      <c r="BM44" s="86"/>
      <c r="BN44" s="86"/>
      <c r="BO44" s="86"/>
      <c r="BP44" s="86"/>
      <c r="BQ44" s="86"/>
      <c r="BR44" s="86"/>
      <c r="BS44" s="86"/>
      <c r="BT44" s="86"/>
      <c r="BU44" s="86"/>
      <c r="BV44" s="86"/>
    </row>
    <row r="45" spans="1:74">
      <c r="A45" s="86"/>
      <c r="B45" s="86"/>
      <c r="C45" s="86"/>
      <c r="D45" s="86"/>
      <c r="E45" s="86"/>
      <c r="F45" s="86"/>
      <c r="G45" s="86"/>
      <c r="H45" s="86"/>
      <c r="I45" s="86"/>
      <c r="J45" s="86"/>
      <c r="K45" s="86"/>
      <c r="L45" s="86"/>
      <c r="M45" s="86"/>
      <c r="N45" s="86"/>
      <c r="O45" s="86"/>
      <c r="P45" s="86"/>
      <c r="Q45" s="86"/>
      <c r="R45" s="86"/>
      <c r="S45" s="86"/>
      <c r="T45" s="106"/>
      <c r="U45" s="86"/>
      <c r="V45" s="86"/>
      <c r="W45" s="86"/>
      <c r="X45" s="86"/>
      <c r="Y45" s="86"/>
      <c r="Z45" s="86"/>
      <c r="AA45" s="86"/>
      <c r="AB45" s="86"/>
      <c r="AC45" s="86"/>
      <c r="AD45" s="86"/>
      <c r="AE45" s="86"/>
      <c r="AF45" s="512"/>
      <c r="AG45" s="86"/>
      <c r="AH45" s="86"/>
      <c r="AI45" s="86"/>
      <c r="AJ45" s="86"/>
      <c r="AK45" s="86"/>
      <c r="AL45" s="86"/>
      <c r="AM45" s="86"/>
      <c r="AN45" s="86"/>
      <c r="AO45" s="86"/>
      <c r="AP45" s="86"/>
      <c r="AQ45" s="86"/>
      <c r="AR45" s="86"/>
      <c r="AS45" s="86"/>
      <c r="AT45" s="86"/>
      <c r="AU45" s="86"/>
      <c r="AV45" s="86"/>
      <c r="AW45" s="86"/>
      <c r="AX45" s="86"/>
      <c r="AY45" s="86"/>
      <c r="AZ45" s="86"/>
      <c r="BA45" s="86"/>
      <c r="BB45" s="86"/>
      <c r="BC45" s="86"/>
      <c r="BD45" s="86"/>
      <c r="BE45" s="86"/>
      <c r="BF45" s="86"/>
      <c r="BG45" s="86"/>
      <c r="BH45" s="86"/>
      <c r="BI45" s="86"/>
      <c r="BJ45" s="86"/>
      <c r="BK45" s="86"/>
      <c r="BL45" s="86"/>
      <c r="BM45" s="86"/>
      <c r="BN45" s="86"/>
      <c r="BO45" s="86"/>
      <c r="BP45" s="86"/>
      <c r="BQ45" s="86"/>
      <c r="BR45" s="86"/>
      <c r="BS45" s="86"/>
      <c r="BT45" s="86"/>
      <c r="BU45" s="86"/>
      <c r="BV45" s="86"/>
    </row>
    <row r="46" spans="1:74">
      <c r="A46" s="86"/>
      <c r="B46" s="86"/>
      <c r="C46" s="86"/>
      <c r="D46" s="86"/>
      <c r="E46" s="86"/>
      <c r="F46" s="86"/>
      <c r="G46" s="86"/>
      <c r="H46" s="86"/>
      <c r="I46" s="86"/>
      <c r="J46" s="86"/>
      <c r="K46" s="86"/>
      <c r="L46" s="86"/>
      <c r="M46" s="86"/>
      <c r="N46" s="86"/>
      <c r="O46" s="86"/>
      <c r="P46" s="86"/>
      <c r="Q46" s="86"/>
      <c r="R46" s="86"/>
      <c r="S46" s="86"/>
      <c r="T46" s="106"/>
      <c r="U46" s="86"/>
      <c r="V46" s="86"/>
      <c r="W46" s="86"/>
      <c r="X46" s="86"/>
      <c r="Y46" s="86"/>
      <c r="Z46" s="86"/>
      <c r="AA46" s="86"/>
      <c r="AB46" s="86"/>
      <c r="AC46" s="86"/>
      <c r="AD46" s="86"/>
      <c r="AE46" s="86"/>
      <c r="AF46" s="512"/>
      <c r="AG46" s="86"/>
      <c r="AH46" s="86"/>
      <c r="AI46" s="86"/>
      <c r="AJ46" s="86"/>
      <c r="AK46" s="86"/>
      <c r="AL46" s="86"/>
      <c r="AM46" s="86"/>
      <c r="AN46" s="86"/>
      <c r="AO46" s="86"/>
      <c r="AP46" s="86"/>
      <c r="AQ46" s="86"/>
      <c r="AR46" s="86"/>
      <c r="AS46" s="86"/>
      <c r="AT46" s="86"/>
      <c r="AU46" s="86"/>
      <c r="AV46" s="86"/>
      <c r="AW46" s="86"/>
      <c r="AX46" s="86"/>
      <c r="AY46" s="86"/>
      <c r="AZ46" s="86"/>
      <c r="BA46" s="86"/>
      <c r="BB46" s="86"/>
      <c r="BC46" s="86"/>
      <c r="BD46" s="86"/>
      <c r="BE46" s="86"/>
      <c r="BF46" s="86"/>
      <c r="BG46" s="86"/>
      <c r="BH46" s="86"/>
      <c r="BI46" s="86"/>
      <c r="BJ46" s="86"/>
      <c r="BK46" s="86"/>
      <c r="BL46" s="86"/>
      <c r="BM46" s="86"/>
      <c r="BN46" s="86"/>
      <c r="BO46" s="86"/>
      <c r="BP46" s="86"/>
      <c r="BQ46" s="86"/>
      <c r="BR46" s="86"/>
      <c r="BS46" s="86"/>
      <c r="BT46" s="86"/>
      <c r="BU46" s="86"/>
      <c r="BV46" s="86"/>
    </row>
    <row r="47" spans="1:74">
      <c r="A47" s="86"/>
      <c r="B47" s="86"/>
      <c r="C47" s="86"/>
      <c r="D47" s="86"/>
      <c r="E47" s="86"/>
      <c r="F47" s="86"/>
      <c r="G47" s="86"/>
      <c r="H47" s="86"/>
      <c r="I47" s="86"/>
      <c r="J47" s="86"/>
      <c r="K47" s="86"/>
      <c r="L47" s="86"/>
      <c r="M47" s="86"/>
      <c r="N47" s="86"/>
      <c r="O47" s="86"/>
      <c r="P47" s="86"/>
      <c r="Q47" s="86"/>
      <c r="R47" s="86"/>
      <c r="S47" s="86"/>
      <c r="T47" s="106"/>
      <c r="U47" s="86"/>
      <c r="V47" s="86"/>
      <c r="W47" s="86"/>
      <c r="X47" s="86"/>
      <c r="Y47" s="86"/>
      <c r="Z47" s="86"/>
      <c r="AA47" s="86"/>
      <c r="AB47" s="86"/>
      <c r="AC47" s="86"/>
      <c r="AD47" s="86"/>
      <c r="AE47" s="86"/>
      <c r="AF47" s="512"/>
      <c r="AG47" s="86"/>
      <c r="AH47" s="86"/>
      <c r="AI47" s="86"/>
      <c r="AJ47" s="86"/>
      <c r="AK47" s="86"/>
      <c r="AL47" s="86"/>
      <c r="AM47" s="86"/>
      <c r="AN47" s="86"/>
      <c r="AO47" s="86"/>
      <c r="AP47" s="86"/>
      <c r="AQ47" s="86"/>
      <c r="AR47" s="86"/>
      <c r="AS47" s="86"/>
      <c r="AT47" s="86"/>
      <c r="AU47" s="86"/>
      <c r="AV47" s="86"/>
      <c r="AW47" s="86"/>
      <c r="AX47" s="86"/>
      <c r="AY47" s="86"/>
      <c r="AZ47" s="86"/>
      <c r="BA47" s="86"/>
      <c r="BB47" s="86"/>
      <c r="BC47" s="86"/>
      <c r="BD47" s="86"/>
      <c r="BE47" s="86"/>
      <c r="BF47" s="86"/>
      <c r="BG47" s="86"/>
      <c r="BH47" s="86"/>
      <c r="BI47" s="86"/>
      <c r="BJ47" s="86"/>
      <c r="BK47" s="86"/>
      <c r="BL47" s="86"/>
      <c r="BM47" s="86"/>
      <c r="BN47" s="86"/>
      <c r="BO47" s="86"/>
      <c r="BP47" s="86"/>
      <c r="BQ47" s="86"/>
      <c r="BR47" s="86"/>
      <c r="BS47" s="86"/>
      <c r="BT47" s="86"/>
      <c r="BU47" s="86"/>
      <c r="BV47" s="86"/>
    </row>
    <row r="48" spans="1:74">
      <c r="A48" s="86"/>
      <c r="B48" s="86"/>
      <c r="C48" s="86"/>
      <c r="D48" s="86"/>
      <c r="E48" s="86"/>
      <c r="F48" s="86"/>
      <c r="G48" s="86"/>
      <c r="H48" s="86"/>
      <c r="I48" s="86"/>
      <c r="J48" s="86"/>
      <c r="K48" s="86"/>
      <c r="L48" s="86"/>
      <c r="M48" s="86"/>
      <c r="N48" s="86"/>
      <c r="O48" s="86"/>
      <c r="P48" s="86"/>
      <c r="Q48" s="86"/>
      <c r="R48" s="86"/>
      <c r="S48" s="86"/>
      <c r="T48" s="106"/>
      <c r="U48" s="86"/>
      <c r="V48" s="86"/>
      <c r="W48" s="86"/>
      <c r="X48" s="86"/>
      <c r="Y48" s="86"/>
      <c r="Z48" s="86"/>
      <c r="AA48" s="86"/>
      <c r="AB48" s="86"/>
      <c r="AC48" s="86"/>
      <c r="AD48" s="86"/>
      <c r="AE48" s="86"/>
      <c r="AF48" s="512"/>
      <c r="AG48" s="86"/>
      <c r="AH48" s="86"/>
      <c r="AI48" s="86"/>
      <c r="AJ48" s="86"/>
      <c r="AK48" s="86"/>
      <c r="AL48" s="86"/>
      <c r="AM48" s="86"/>
      <c r="AN48" s="86"/>
      <c r="AO48" s="86"/>
      <c r="AP48" s="86"/>
      <c r="AQ48" s="86"/>
      <c r="AR48" s="86"/>
      <c r="AS48" s="86"/>
      <c r="AT48" s="86"/>
      <c r="AU48" s="86"/>
      <c r="AV48" s="86"/>
      <c r="AW48" s="86"/>
      <c r="AX48" s="86"/>
      <c r="AY48" s="86"/>
      <c r="AZ48" s="86"/>
      <c r="BA48" s="86"/>
      <c r="BB48" s="86"/>
      <c r="BC48" s="86"/>
      <c r="BD48" s="86"/>
      <c r="BE48" s="86"/>
      <c r="BF48" s="86"/>
      <c r="BG48" s="86"/>
      <c r="BH48" s="86"/>
      <c r="BI48" s="86"/>
      <c r="BJ48" s="86"/>
      <c r="BK48" s="86"/>
      <c r="BL48" s="86"/>
      <c r="BM48" s="86"/>
      <c r="BN48" s="86"/>
      <c r="BO48" s="86"/>
      <c r="BP48" s="86"/>
      <c r="BQ48" s="86"/>
      <c r="BR48" s="86"/>
      <c r="BS48" s="86"/>
      <c r="BT48" s="86"/>
      <c r="BU48" s="86"/>
      <c r="BV48" s="86"/>
    </row>
    <row r="49" spans="1:74">
      <c r="A49" s="86"/>
      <c r="B49" s="86"/>
      <c r="C49" s="86"/>
      <c r="D49" s="86"/>
      <c r="E49" s="86"/>
      <c r="F49" s="86"/>
      <c r="G49" s="86"/>
      <c r="H49" s="86"/>
      <c r="I49" s="86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106"/>
      <c r="U49" s="86"/>
      <c r="V49" s="86"/>
      <c r="W49" s="86"/>
      <c r="X49" s="86"/>
      <c r="Y49" s="86"/>
      <c r="Z49" s="86"/>
      <c r="AA49" s="86"/>
      <c r="AB49" s="86"/>
      <c r="AC49" s="86"/>
      <c r="AD49" s="86"/>
      <c r="AE49" s="86"/>
      <c r="AF49" s="512"/>
      <c r="AG49" s="86"/>
      <c r="AH49" s="86"/>
      <c r="AI49" s="86"/>
      <c r="AJ49" s="86"/>
      <c r="AK49" s="86"/>
      <c r="AL49" s="86"/>
      <c r="AM49" s="86"/>
      <c r="AN49" s="86"/>
      <c r="AO49" s="86"/>
      <c r="AP49" s="86"/>
      <c r="AQ49" s="86"/>
      <c r="AR49" s="86"/>
      <c r="AS49" s="86"/>
      <c r="AT49" s="86"/>
      <c r="AU49" s="86"/>
      <c r="AV49" s="86"/>
      <c r="AW49" s="86"/>
      <c r="AX49" s="86"/>
      <c r="AY49" s="86"/>
      <c r="AZ49" s="86"/>
      <c r="BA49" s="86"/>
      <c r="BB49" s="86"/>
      <c r="BC49" s="86"/>
      <c r="BD49" s="86"/>
      <c r="BE49" s="86"/>
      <c r="BF49" s="86"/>
      <c r="BG49" s="86"/>
      <c r="BH49" s="86"/>
      <c r="BI49" s="86"/>
      <c r="BJ49" s="86"/>
      <c r="BK49" s="86"/>
      <c r="BL49" s="86"/>
      <c r="BM49" s="86"/>
      <c r="BN49" s="86"/>
      <c r="BO49" s="86"/>
      <c r="BP49" s="86"/>
      <c r="BQ49" s="86"/>
      <c r="BR49" s="86"/>
      <c r="BS49" s="86"/>
      <c r="BT49" s="86"/>
      <c r="BU49" s="86"/>
      <c r="BV49" s="86"/>
    </row>
    <row r="50" spans="1:74">
      <c r="A50" s="86"/>
      <c r="B50" s="86"/>
      <c r="C50" s="86"/>
      <c r="D50" s="86"/>
      <c r="E50" s="86"/>
      <c r="F50" s="86"/>
      <c r="G50" s="86"/>
      <c r="H50" s="86"/>
      <c r="I50" s="86"/>
      <c r="J50" s="86"/>
      <c r="K50" s="86"/>
      <c r="L50" s="86"/>
      <c r="M50" s="86"/>
      <c r="N50" s="86"/>
      <c r="O50" s="86"/>
      <c r="P50" s="86"/>
      <c r="Q50" s="86"/>
      <c r="R50" s="86"/>
      <c r="S50" s="86"/>
      <c r="T50" s="106"/>
      <c r="U50" s="86"/>
      <c r="V50" s="86"/>
      <c r="W50" s="86"/>
      <c r="X50" s="86"/>
      <c r="Y50" s="86"/>
      <c r="Z50" s="86"/>
      <c r="AA50" s="86"/>
      <c r="AB50" s="86"/>
      <c r="AC50" s="86"/>
      <c r="AD50" s="86"/>
      <c r="AE50" s="86"/>
      <c r="AF50" s="512"/>
      <c r="AG50" s="86"/>
      <c r="AH50" s="86"/>
      <c r="AI50" s="86"/>
      <c r="AJ50" s="86"/>
      <c r="AK50" s="86"/>
      <c r="AL50" s="86"/>
      <c r="AM50" s="86"/>
      <c r="AN50" s="86"/>
      <c r="AO50" s="86"/>
      <c r="AP50" s="86"/>
      <c r="AQ50" s="86"/>
      <c r="AR50" s="86"/>
      <c r="AS50" s="86"/>
      <c r="AT50" s="86"/>
      <c r="AU50" s="86"/>
      <c r="AV50" s="86"/>
      <c r="AW50" s="86"/>
      <c r="AX50" s="86"/>
      <c r="AY50" s="86"/>
      <c r="AZ50" s="86"/>
      <c r="BA50" s="86"/>
      <c r="BB50" s="86"/>
      <c r="BC50" s="86"/>
      <c r="BD50" s="86"/>
      <c r="BE50" s="86"/>
      <c r="BF50" s="86"/>
      <c r="BG50" s="86"/>
      <c r="BH50" s="86"/>
      <c r="BI50" s="86"/>
      <c r="BJ50" s="86"/>
      <c r="BK50" s="86"/>
      <c r="BL50" s="86"/>
      <c r="BM50" s="86"/>
      <c r="BN50" s="86"/>
      <c r="BO50" s="86"/>
      <c r="BP50" s="86"/>
      <c r="BQ50" s="86"/>
      <c r="BR50" s="86"/>
      <c r="BS50" s="86"/>
      <c r="BT50" s="86"/>
      <c r="BU50" s="86"/>
      <c r="BV50" s="86"/>
    </row>
    <row r="51" spans="1:74">
      <c r="A51" s="86"/>
      <c r="B51" s="86"/>
      <c r="C51" s="86"/>
      <c r="D51" s="86"/>
      <c r="E51" s="86"/>
      <c r="F51" s="86"/>
      <c r="G51" s="86"/>
      <c r="H51" s="86"/>
      <c r="I51" s="86"/>
      <c r="J51" s="86"/>
      <c r="K51" s="86"/>
      <c r="L51" s="86"/>
      <c r="M51" s="86"/>
      <c r="N51" s="86"/>
      <c r="O51" s="86"/>
      <c r="P51" s="86"/>
      <c r="Q51" s="86"/>
      <c r="R51" s="86"/>
      <c r="S51" s="86"/>
      <c r="T51" s="106"/>
      <c r="U51" s="86"/>
      <c r="V51" s="86"/>
      <c r="W51" s="86"/>
      <c r="X51" s="86"/>
      <c r="Y51" s="86"/>
      <c r="Z51" s="86"/>
      <c r="AA51" s="86"/>
      <c r="AB51" s="86"/>
      <c r="AC51" s="86"/>
      <c r="AD51" s="86"/>
      <c r="AE51" s="86"/>
      <c r="AF51" s="512"/>
      <c r="AG51" s="86"/>
      <c r="AH51" s="86"/>
      <c r="AI51" s="86"/>
      <c r="AJ51" s="86"/>
      <c r="AK51" s="86"/>
      <c r="AL51" s="86"/>
      <c r="AM51" s="86"/>
      <c r="AN51" s="86"/>
      <c r="AO51" s="86"/>
      <c r="AP51" s="86"/>
      <c r="AQ51" s="86"/>
      <c r="AR51" s="86"/>
      <c r="AS51" s="86"/>
      <c r="AT51" s="86"/>
      <c r="AU51" s="86"/>
      <c r="AV51" s="86"/>
      <c r="AW51" s="86"/>
      <c r="AX51" s="86"/>
      <c r="AY51" s="86"/>
      <c r="AZ51" s="86"/>
      <c r="BA51" s="86"/>
      <c r="BB51" s="86"/>
      <c r="BC51" s="86"/>
      <c r="BD51" s="86"/>
      <c r="BE51" s="86"/>
      <c r="BF51" s="86"/>
      <c r="BG51" s="86"/>
      <c r="BH51" s="86"/>
      <c r="BI51" s="86"/>
      <c r="BJ51" s="86"/>
      <c r="BK51" s="86"/>
      <c r="BL51" s="86"/>
      <c r="BM51" s="86"/>
      <c r="BN51" s="86"/>
      <c r="BO51" s="86"/>
      <c r="BP51" s="86"/>
      <c r="BQ51" s="86"/>
      <c r="BR51" s="86"/>
      <c r="BS51" s="86"/>
      <c r="BT51" s="86"/>
      <c r="BU51" s="86"/>
      <c r="BV51" s="86"/>
    </row>
    <row r="52" spans="1:74">
      <c r="A52" s="86"/>
      <c r="B52" s="86"/>
      <c r="C52" s="86"/>
      <c r="D52" s="86"/>
      <c r="E52" s="86"/>
      <c r="F52" s="86"/>
      <c r="G52" s="86"/>
      <c r="H52" s="86"/>
      <c r="I52" s="86"/>
      <c r="J52" s="86"/>
      <c r="K52" s="86"/>
      <c r="L52" s="86"/>
      <c r="M52" s="86"/>
      <c r="N52" s="86"/>
      <c r="O52" s="86"/>
      <c r="P52" s="86"/>
      <c r="Q52" s="86"/>
      <c r="R52" s="86"/>
      <c r="S52" s="86"/>
      <c r="T52" s="106"/>
      <c r="U52" s="86"/>
      <c r="V52" s="86"/>
      <c r="W52" s="86"/>
      <c r="X52" s="86"/>
      <c r="Y52" s="86"/>
      <c r="Z52" s="86"/>
      <c r="AA52" s="86"/>
      <c r="AB52" s="86"/>
      <c r="AC52" s="86"/>
      <c r="AD52" s="86"/>
      <c r="AE52" s="86"/>
      <c r="AF52" s="512"/>
      <c r="AG52" s="86"/>
      <c r="AH52" s="86"/>
      <c r="AI52" s="86"/>
      <c r="AJ52" s="86"/>
      <c r="AK52" s="86"/>
      <c r="AL52" s="86"/>
      <c r="AM52" s="86"/>
      <c r="AN52" s="86"/>
      <c r="AO52" s="86"/>
      <c r="AP52" s="86"/>
      <c r="AQ52" s="86"/>
      <c r="AR52" s="86"/>
      <c r="AS52" s="86"/>
      <c r="AT52" s="86"/>
      <c r="AU52" s="86"/>
      <c r="AV52" s="86"/>
      <c r="AW52" s="86"/>
      <c r="AX52" s="86"/>
      <c r="AY52" s="86"/>
      <c r="AZ52" s="86"/>
      <c r="BA52" s="86"/>
      <c r="BB52" s="86"/>
      <c r="BC52" s="86"/>
      <c r="BD52" s="86"/>
      <c r="BE52" s="86"/>
      <c r="BF52" s="86"/>
      <c r="BG52" s="86"/>
      <c r="BH52" s="86"/>
      <c r="BI52" s="86"/>
      <c r="BJ52" s="86"/>
      <c r="BK52" s="86"/>
      <c r="BL52" s="86"/>
      <c r="BM52" s="86"/>
      <c r="BN52" s="86"/>
      <c r="BO52" s="86"/>
      <c r="BP52" s="86"/>
      <c r="BQ52" s="86"/>
      <c r="BR52" s="86"/>
      <c r="BS52" s="86"/>
      <c r="BT52" s="86"/>
      <c r="BU52" s="86"/>
      <c r="BV52" s="86"/>
    </row>
    <row r="53" spans="1:74">
      <c r="A53" s="86"/>
      <c r="B53" s="86"/>
      <c r="C53" s="86"/>
      <c r="D53" s="86"/>
      <c r="E53" s="86"/>
      <c r="F53" s="86"/>
      <c r="G53" s="86"/>
      <c r="H53" s="86"/>
      <c r="I53" s="86"/>
      <c r="J53" s="86"/>
      <c r="K53" s="86"/>
      <c r="L53" s="86"/>
      <c r="M53" s="86"/>
      <c r="N53" s="86"/>
      <c r="O53" s="86"/>
      <c r="P53" s="86"/>
      <c r="Q53" s="86"/>
      <c r="R53" s="86"/>
      <c r="S53" s="86"/>
      <c r="T53" s="106"/>
      <c r="U53" s="86"/>
      <c r="V53" s="86"/>
      <c r="W53" s="86"/>
      <c r="X53" s="86"/>
      <c r="Y53" s="86"/>
      <c r="Z53" s="86"/>
      <c r="AA53" s="86"/>
      <c r="AB53" s="86"/>
      <c r="AC53" s="86"/>
      <c r="AD53" s="86"/>
      <c r="AE53" s="86"/>
      <c r="AF53" s="512"/>
      <c r="AG53" s="86"/>
      <c r="AH53" s="86"/>
      <c r="AI53" s="86"/>
      <c r="AJ53" s="86"/>
      <c r="AK53" s="86"/>
      <c r="AL53" s="86"/>
      <c r="AM53" s="86"/>
      <c r="AN53" s="86"/>
      <c r="AO53" s="86"/>
      <c r="AP53" s="86"/>
      <c r="AQ53" s="86"/>
      <c r="AR53" s="86"/>
      <c r="AS53" s="86"/>
      <c r="AT53" s="86"/>
      <c r="AU53" s="86"/>
      <c r="AV53" s="86"/>
      <c r="AW53" s="86"/>
      <c r="AX53" s="86"/>
      <c r="AY53" s="86"/>
      <c r="AZ53" s="86"/>
      <c r="BA53" s="86"/>
      <c r="BB53" s="86"/>
      <c r="BC53" s="86"/>
      <c r="BD53" s="86"/>
      <c r="BE53" s="86"/>
      <c r="BF53" s="86"/>
      <c r="BG53" s="86"/>
      <c r="BH53" s="86"/>
      <c r="BI53" s="86"/>
      <c r="BJ53" s="86"/>
      <c r="BK53" s="86"/>
      <c r="BL53" s="86"/>
      <c r="BM53" s="86"/>
      <c r="BN53" s="86"/>
      <c r="BO53" s="86"/>
      <c r="BP53" s="86"/>
      <c r="BQ53" s="86"/>
      <c r="BR53" s="86"/>
      <c r="BS53" s="86"/>
      <c r="BT53" s="86"/>
      <c r="BU53" s="86"/>
      <c r="BV53" s="86"/>
    </row>
    <row r="54" spans="1:74">
      <c r="A54" s="86"/>
      <c r="B54" s="86"/>
      <c r="C54" s="86"/>
      <c r="D54" s="86"/>
      <c r="E54" s="86"/>
      <c r="F54" s="86"/>
      <c r="G54" s="86"/>
      <c r="H54" s="86"/>
      <c r="I54" s="86"/>
      <c r="J54" s="86"/>
      <c r="K54" s="86"/>
      <c r="L54" s="86"/>
      <c r="M54" s="86"/>
      <c r="N54" s="86"/>
      <c r="O54" s="86"/>
      <c r="P54" s="86"/>
      <c r="Q54" s="86"/>
      <c r="R54" s="86"/>
      <c r="S54" s="86"/>
      <c r="T54" s="106"/>
      <c r="U54" s="86"/>
      <c r="V54" s="86"/>
      <c r="W54" s="86"/>
      <c r="X54" s="86"/>
      <c r="Y54" s="86"/>
      <c r="Z54" s="86"/>
      <c r="AA54" s="86"/>
      <c r="AB54" s="86"/>
      <c r="AC54" s="86"/>
      <c r="AD54" s="86"/>
      <c r="AE54" s="86"/>
      <c r="AF54" s="512"/>
      <c r="AG54" s="86"/>
      <c r="AH54" s="86"/>
      <c r="AI54" s="86"/>
      <c r="AJ54" s="86"/>
      <c r="AK54" s="86"/>
      <c r="AL54" s="86"/>
      <c r="AM54" s="86"/>
      <c r="AN54" s="86"/>
      <c r="AO54" s="86"/>
      <c r="AP54" s="86"/>
      <c r="AQ54" s="86"/>
      <c r="AR54" s="86"/>
      <c r="AS54" s="86"/>
      <c r="AT54" s="86"/>
      <c r="AU54" s="86"/>
      <c r="AV54" s="86"/>
      <c r="AW54" s="86"/>
      <c r="AX54" s="86"/>
      <c r="AY54" s="86"/>
      <c r="AZ54" s="86"/>
      <c r="BA54" s="86"/>
      <c r="BB54" s="86"/>
      <c r="BC54" s="86"/>
      <c r="BD54" s="86"/>
      <c r="BE54" s="86"/>
      <c r="BF54" s="86"/>
      <c r="BG54" s="86"/>
      <c r="BH54" s="86"/>
      <c r="BI54" s="86"/>
      <c r="BJ54" s="86"/>
      <c r="BK54" s="86"/>
      <c r="BL54" s="86"/>
      <c r="BM54" s="86"/>
      <c r="BN54" s="86"/>
      <c r="BO54" s="86"/>
      <c r="BP54" s="86"/>
      <c r="BQ54" s="86"/>
      <c r="BR54" s="86"/>
      <c r="BS54" s="86"/>
      <c r="BT54" s="86"/>
      <c r="BU54" s="86"/>
      <c r="BV54" s="86"/>
    </row>
    <row r="55" spans="1:74">
      <c r="A55" s="86"/>
      <c r="B55" s="86"/>
      <c r="C55" s="86"/>
      <c r="D55" s="86"/>
      <c r="E55" s="86"/>
      <c r="F55" s="86"/>
      <c r="G55" s="86"/>
      <c r="H55" s="86"/>
      <c r="I55" s="86"/>
      <c r="J55" s="86"/>
      <c r="K55" s="86"/>
      <c r="L55" s="86"/>
      <c r="M55" s="86"/>
      <c r="N55" s="86"/>
      <c r="O55" s="86"/>
      <c r="P55" s="86"/>
      <c r="Q55" s="86"/>
      <c r="R55" s="86"/>
      <c r="S55" s="86"/>
      <c r="T55" s="106"/>
      <c r="U55" s="86"/>
      <c r="V55" s="86"/>
      <c r="W55" s="86"/>
      <c r="X55" s="86"/>
      <c r="Y55" s="86"/>
      <c r="Z55" s="86"/>
      <c r="AA55" s="86"/>
      <c r="AB55" s="86"/>
      <c r="AC55" s="86"/>
      <c r="AD55" s="86"/>
      <c r="AE55" s="86"/>
      <c r="AF55" s="512"/>
      <c r="AG55" s="86"/>
      <c r="AH55" s="86"/>
      <c r="AI55" s="86"/>
      <c r="AJ55" s="86"/>
      <c r="AK55" s="86"/>
      <c r="AL55" s="86"/>
      <c r="AM55" s="86"/>
      <c r="AN55" s="86"/>
      <c r="AO55" s="86"/>
      <c r="AP55" s="86"/>
      <c r="AQ55" s="86"/>
      <c r="AR55" s="86"/>
      <c r="AS55" s="86"/>
      <c r="AT55" s="86"/>
      <c r="AU55" s="86"/>
      <c r="AV55" s="86"/>
      <c r="AW55" s="86"/>
      <c r="AX55" s="86"/>
      <c r="AY55" s="86"/>
      <c r="AZ55" s="86"/>
      <c r="BA55" s="86"/>
      <c r="BB55" s="86"/>
      <c r="BC55" s="86"/>
      <c r="BD55" s="86"/>
      <c r="BE55" s="86"/>
      <c r="BF55" s="86"/>
      <c r="BG55" s="86"/>
      <c r="BH55" s="86"/>
      <c r="BI55" s="86"/>
      <c r="BJ55" s="86"/>
      <c r="BK55" s="86"/>
      <c r="BL55" s="86"/>
      <c r="BM55" s="86"/>
      <c r="BN55" s="86"/>
      <c r="BO55" s="86"/>
      <c r="BP55" s="86"/>
      <c r="BQ55" s="86"/>
      <c r="BR55" s="86"/>
      <c r="BS55" s="86"/>
      <c r="BT55" s="86"/>
      <c r="BU55" s="86"/>
      <c r="BV55" s="86"/>
    </row>
    <row r="56" spans="1:74">
      <c r="A56" s="86"/>
      <c r="B56" s="86"/>
      <c r="C56" s="86"/>
      <c r="D56" s="86"/>
      <c r="E56" s="86"/>
      <c r="F56" s="86"/>
      <c r="G56" s="86"/>
      <c r="H56" s="86"/>
      <c r="I56" s="86"/>
      <c r="J56" s="86"/>
      <c r="K56" s="86"/>
      <c r="L56" s="86"/>
      <c r="M56" s="86"/>
      <c r="N56" s="86"/>
      <c r="O56" s="86"/>
      <c r="P56" s="86"/>
      <c r="Q56" s="86"/>
      <c r="R56" s="86"/>
      <c r="S56" s="86"/>
      <c r="T56" s="106"/>
      <c r="U56" s="86"/>
      <c r="V56" s="86"/>
      <c r="W56" s="86"/>
      <c r="X56" s="86"/>
      <c r="Y56" s="86"/>
      <c r="Z56" s="86"/>
      <c r="AA56" s="86"/>
      <c r="AB56" s="86"/>
      <c r="AC56" s="86"/>
      <c r="AD56" s="86"/>
      <c r="AE56" s="86"/>
      <c r="AF56" s="512"/>
      <c r="AG56" s="86"/>
      <c r="AH56" s="86"/>
      <c r="AI56" s="86"/>
      <c r="AJ56" s="86"/>
      <c r="AK56" s="86"/>
      <c r="AL56" s="86"/>
      <c r="AM56" s="86"/>
      <c r="AN56" s="86"/>
      <c r="AO56" s="86"/>
      <c r="AP56" s="86"/>
      <c r="AQ56" s="86"/>
      <c r="AR56" s="86"/>
      <c r="AS56" s="86"/>
      <c r="AT56" s="86"/>
      <c r="AU56" s="86"/>
      <c r="AV56" s="86"/>
      <c r="AW56" s="86"/>
      <c r="AX56" s="86"/>
      <c r="AY56" s="86"/>
      <c r="AZ56" s="86"/>
      <c r="BA56" s="86"/>
      <c r="BB56" s="86"/>
      <c r="BC56" s="86"/>
      <c r="BD56" s="86"/>
      <c r="BE56" s="86"/>
      <c r="BF56" s="86"/>
      <c r="BG56" s="86"/>
      <c r="BH56" s="86"/>
      <c r="BI56" s="86"/>
      <c r="BJ56" s="86"/>
      <c r="BK56" s="86"/>
      <c r="BL56" s="86"/>
      <c r="BM56" s="86"/>
      <c r="BN56" s="86"/>
      <c r="BO56" s="86"/>
      <c r="BP56" s="86"/>
      <c r="BQ56" s="86"/>
      <c r="BR56" s="86"/>
      <c r="BS56" s="86"/>
      <c r="BT56" s="86"/>
      <c r="BU56" s="86"/>
      <c r="BV56" s="86"/>
    </row>
    <row r="57" spans="1:74">
      <c r="A57" s="86"/>
      <c r="B57" s="86"/>
      <c r="C57" s="86"/>
      <c r="D57" s="86"/>
      <c r="E57" s="86"/>
      <c r="F57" s="86"/>
      <c r="G57" s="86"/>
      <c r="H57" s="86"/>
      <c r="I57" s="86"/>
      <c r="J57" s="86"/>
      <c r="K57" s="86"/>
      <c r="L57" s="86"/>
      <c r="M57" s="86"/>
      <c r="N57" s="86"/>
      <c r="O57" s="86"/>
      <c r="P57" s="86"/>
      <c r="Q57" s="86"/>
      <c r="R57" s="86"/>
      <c r="S57" s="86"/>
      <c r="T57" s="106"/>
      <c r="U57" s="86"/>
      <c r="V57" s="86"/>
      <c r="W57" s="86"/>
      <c r="X57" s="86"/>
      <c r="Y57" s="86"/>
      <c r="Z57" s="86"/>
      <c r="AA57" s="86"/>
      <c r="AB57" s="86"/>
      <c r="AC57" s="86"/>
      <c r="AD57" s="86"/>
      <c r="AE57" s="86"/>
      <c r="AF57" s="512"/>
      <c r="AG57" s="86"/>
      <c r="AH57" s="86"/>
      <c r="AI57" s="86"/>
      <c r="AJ57" s="86"/>
      <c r="AK57" s="86"/>
      <c r="AL57" s="86"/>
      <c r="AM57" s="86"/>
      <c r="AN57" s="86"/>
      <c r="AO57" s="86"/>
      <c r="AP57" s="86"/>
      <c r="AQ57" s="86"/>
      <c r="AR57" s="86"/>
      <c r="AS57" s="86"/>
      <c r="AT57" s="86"/>
      <c r="AU57" s="86"/>
      <c r="AV57" s="86"/>
      <c r="AW57" s="86"/>
      <c r="AX57" s="86"/>
      <c r="AY57" s="86"/>
      <c r="AZ57" s="86"/>
      <c r="BA57" s="86"/>
      <c r="BB57" s="86"/>
      <c r="BC57" s="86"/>
      <c r="BD57" s="86"/>
      <c r="BE57" s="86"/>
      <c r="BF57" s="86"/>
      <c r="BG57" s="86"/>
      <c r="BH57" s="86"/>
      <c r="BI57" s="86"/>
      <c r="BJ57" s="86"/>
      <c r="BK57" s="86"/>
      <c r="BL57" s="86"/>
      <c r="BM57" s="86"/>
      <c r="BN57" s="86"/>
      <c r="BO57" s="86"/>
      <c r="BP57" s="86"/>
      <c r="BQ57" s="86"/>
      <c r="BR57" s="86"/>
      <c r="BS57" s="86"/>
      <c r="BT57" s="86"/>
      <c r="BU57" s="86"/>
      <c r="BV57" s="86"/>
    </row>
    <row r="58" spans="1:74">
      <c r="A58" s="86"/>
      <c r="B58" s="86"/>
      <c r="C58" s="86"/>
      <c r="D58" s="86"/>
      <c r="E58" s="86"/>
      <c r="F58" s="86"/>
      <c r="G58" s="86"/>
      <c r="H58" s="86"/>
      <c r="I58" s="86"/>
      <c r="J58" s="86"/>
      <c r="K58" s="86"/>
      <c r="L58" s="86"/>
      <c r="M58" s="86"/>
      <c r="N58" s="86"/>
      <c r="O58" s="86"/>
      <c r="P58" s="86"/>
      <c r="Q58" s="86"/>
      <c r="R58" s="86"/>
      <c r="S58" s="86"/>
      <c r="T58" s="106"/>
      <c r="U58" s="86"/>
      <c r="V58" s="86"/>
      <c r="W58" s="86"/>
      <c r="X58" s="86"/>
      <c r="Y58" s="86"/>
      <c r="Z58" s="86"/>
      <c r="AA58" s="86"/>
      <c r="AB58" s="86"/>
      <c r="AC58" s="86"/>
      <c r="AD58" s="86"/>
      <c r="AE58" s="86"/>
      <c r="AF58" s="512"/>
      <c r="AG58" s="86"/>
      <c r="AH58" s="86"/>
      <c r="AI58" s="86"/>
      <c r="AJ58" s="86"/>
      <c r="AK58" s="86"/>
      <c r="AL58" s="86"/>
      <c r="AM58" s="86"/>
      <c r="AN58" s="86"/>
      <c r="AO58" s="86"/>
      <c r="AP58" s="86"/>
      <c r="AQ58" s="86"/>
      <c r="AR58" s="86"/>
      <c r="AS58" s="86"/>
      <c r="AT58" s="86"/>
      <c r="AU58" s="86"/>
      <c r="AV58" s="86"/>
      <c r="AW58" s="86"/>
      <c r="AX58" s="86"/>
      <c r="AY58" s="86"/>
      <c r="AZ58" s="86"/>
      <c r="BA58" s="86"/>
      <c r="BB58" s="86"/>
      <c r="BC58" s="86"/>
      <c r="BD58" s="86"/>
      <c r="BE58" s="86"/>
      <c r="BF58" s="86"/>
      <c r="BG58" s="86"/>
      <c r="BH58" s="86"/>
      <c r="BI58" s="86"/>
      <c r="BJ58" s="86"/>
      <c r="BK58" s="86"/>
      <c r="BL58" s="86"/>
      <c r="BM58" s="86"/>
      <c r="BN58" s="86"/>
      <c r="BO58" s="86"/>
      <c r="BP58" s="86"/>
      <c r="BQ58" s="86"/>
      <c r="BR58" s="86"/>
      <c r="BS58" s="86"/>
      <c r="BT58" s="86"/>
      <c r="BU58" s="86"/>
      <c r="BV58" s="86"/>
    </row>
    <row r="59" spans="1:74">
      <c r="A59" s="86"/>
      <c r="B59" s="86"/>
      <c r="C59" s="86"/>
      <c r="D59" s="86"/>
      <c r="E59" s="86"/>
      <c r="F59" s="86"/>
      <c r="G59" s="86"/>
      <c r="H59" s="86"/>
      <c r="I59" s="86"/>
      <c r="J59" s="86"/>
      <c r="K59" s="86"/>
      <c r="L59" s="86"/>
      <c r="M59" s="86"/>
      <c r="N59" s="86"/>
      <c r="O59" s="86"/>
      <c r="P59" s="86"/>
      <c r="Q59" s="86"/>
      <c r="R59" s="86"/>
      <c r="S59" s="86"/>
      <c r="T59" s="106"/>
      <c r="U59" s="86"/>
      <c r="V59" s="86"/>
      <c r="W59" s="86"/>
      <c r="X59" s="86"/>
      <c r="Y59" s="86"/>
      <c r="Z59" s="86"/>
      <c r="AA59" s="86"/>
      <c r="AB59" s="86"/>
      <c r="AC59" s="86"/>
      <c r="AD59" s="86"/>
      <c r="AE59" s="86"/>
      <c r="AF59" s="512"/>
      <c r="AG59" s="86"/>
      <c r="AH59" s="86"/>
      <c r="AI59" s="86"/>
      <c r="AJ59" s="86"/>
      <c r="AK59" s="86"/>
      <c r="AL59" s="86"/>
      <c r="AM59" s="86"/>
      <c r="AN59" s="86"/>
      <c r="AO59" s="86"/>
      <c r="AP59" s="86"/>
      <c r="AQ59" s="86"/>
      <c r="AR59" s="86"/>
      <c r="AS59" s="86"/>
      <c r="AT59" s="86"/>
      <c r="AU59" s="86"/>
      <c r="AV59" s="86"/>
      <c r="AW59" s="86"/>
      <c r="AX59" s="86"/>
      <c r="AY59" s="86"/>
      <c r="AZ59" s="86"/>
      <c r="BA59" s="86"/>
      <c r="BB59" s="86"/>
      <c r="BC59" s="86"/>
      <c r="BD59" s="86"/>
      <c r="BE59" s="86"/>
      <c r="BF59" s="86"/>
      <c r="BG59" s="86"/>
      <c r="BH59" s="86"/>
      <c r="BI59" s="86"/>
      <c r="BJ59" s="86"/>
      <c r="BK59" s="86"/>
      <c r="BL59" s="86"/>
      <c r="BM59" s="86"/>
      <c r="BN59" s="86"/>
      <c r="BO59" s="86"/>
      <c r="BP59" s="86"/>
      <c r="BQ59" s="86"/>
      <c r="BR59" s="86"/>
      <c r="BS59" s="86"/>
      <c r="BT59" s="86"/>
      <c r="BU59" s="86"/>
      <c r="BV59" s="86"/>
    </row>
    <row r="60" spans="1:74">
      <c r="A60" s="86"/>
      <c r="B60" s="86"/>
      <c r="C60" s="86"/>
      <c r="D60" s="86"/>
      <c r="E60" s="86"/>
      <c r="F60" s="86"/>
      <c r="G60" s="86"/>
      <c r="H60" s="86"/>
      <c r="I60" s="86"/>
      <c r="J60" s="86"/>
      <c r="K60" s="86"/>
      <c r="L60" s="86"/>
      <c r="M60" s="86"/>
      <c r="N60" s="86"/>
      <c r="O60" s="86"/>
      <c r="P60" s="86"/>
      <c r="Q60" s="86"/>
      <c r="R60" s="86"/>
      <c r="S60" s="86"/>
      <c r="T60" s="106"/>
      <c r="U60" s="86"/>
      <c r="V60" s="86"/>
      <c r="W60" s="86"/>
      <c r="X60" s="86"/>
      <c r="Y60" s="86"/>
      <c r="Z60" s="86"/>
      <c r="AA60" s="86"/>
      <c r="AB60" s="86"/>
      <c r="AC60" s="86"/>
      <c r="AD60" s="86"/>
      <c r="AE60" s="86"/>
      <c r="AF60" s="512"/>
      <c r="AG60" s="86"/>
      <c r="AH60" s="86"/>
      <c r="AI60" s="86"/>
      <c r="AJ60" s="86"/>
      <c r="AK60" s="86"/>
      <c r="AL60" s="86"/>
      <c r="AM60" s="86"/>
      <c r="AN60" s="86"/>
      <c r="AO60" s="86"/>
      <c r="AP60" s="86"/>
      <c r="AQ60" s="86"/>
      <c r="AR60" s="86"/>
      <c r="AS60" s="86"/>
      <c r="AT60" s="86"/>
      <c r="AU60" s="86"/>
      <c r="AV60" s="86"/>
      <c r="AW60" s="86"/>
      <c r="AX60" s="86"/>
      <c r="AY60" s="86"/>
      <c r="AZ60" s="86"/>
      <c r="BA60" s="86"/>
      <c r="BB60" s="86"/>
      <c r="BC60" s="86"/>
      <c r="BD60" s="86"/>
      <c r="BE60" s="86"/>
      <c r="BF60" s="86"/>
      <c r="BG60" s="86"/>
      <c r="BH60" s="86"/>
      <c r="BI60" s="86"/>
      <c r="BJ60" s="86"/>
      <c r="BK60" s="86"/>
      <c r="BL60" s="86"/>
      <c r="BM60" s="86"/>
      <c r="BN60" s="86"/>
      <c r="BO60" s="86"/>
      <c r="BP60" s="86"/>
      <c r="BQ60" s="86"/>
      <c r="BR60" s="86"/>
      <c r="BS60" s="86"/>
      <c r="BT60" s="86"/>
      <c r="BU60" s="86"/>
      <c r="BV60" s="86"/>
    </row>
    <row r="61" spans="1:74">
      <c r="A61" s="86"/>
      <c r="B61" s="86"/>
      <c r="C61" s="86"/>
      <c r="D61" s="86"/>
      <c r="E61" s="86"/>
      <c r="F61" s="86"/>
      <c r="G61" s="86"/>
      <c r="H61" s="86"/>
      <c r="I61" s="86"/>
      <c r="J61" s="86"/>
      <c r="K61" s="86"/>
      <c r="L61" s="86"/>
      <c r="M61" s="86"/>
      <c r="N61" s="86"/>
      <c r="O61" s="86"/>
      <c r="P61" s="86"/>
      <c r="Q61" s="86"/>
      <c r="R61" s="86"/>
      <c r="S61" s="86"/>
      <c r="T61" s="106"/>
      <c r="U61" s="86"/>
      <c r="V61" s="86"/>
      <c r="W61" s="86"/>
      <c r="X61" s="86"/>
      <c r="Y61" s="86"/>
      <c r="Z61" s="86"/>
      <c r="AA61" s="86"/>
      <c r="AB61" s="86"/>
      <c r="AC61" s="86"/>
      <c r="AD61" s="86"/>
      <c r="AE61" s="86"/>
      <c r="AF61" s="512"/>
      <c r="AG61" s="86"/>
      <c r="AH61" s="86"/>
      <c r="AI61" s="86"/>
      <c r="AJ61" s="86"/>
      <c r="AK61" s="86"/>
      <c r="AL61" s="86"/>
      <c r="AM61" s="86"/>
      <c r="AN61" s="86"/>
      <c r="AO61" s="86"/>
      <c r="AP61" s="86"/>
      <c r="AQ61" s="86"/>
      <c r="AR61" s="86"/>
      <c r="AS61" s="86"/>
      <c r="AT61" s="86"/>
      <c r="AU61" s="86"/>
      <c r="AV61" s="86"/>
      <c r="AW61" s="86"/>
      <c r="AX61" s="86"/>
      <c r="AY61" s="86"/>
      <c r="AZ61" s="86"/>
      <c r="BA61" s="86"/>
      <c r="BB61" s="86"/>
      <c r="BC61" s="86"/>
      <c r="BD61" s="86"/>
      <c r="BE61" s="86"/>
      <c r="BF61" s="86"/>
      <c r="BG61" s="86"/>
      <c r="BH61" s="86"/>
      <c r="BI61" s="86"/>
      <c r="BJ61" s="86"/>
      <c r="BK61" s="86"/>
      <c r="BL61" s="86"/>
      <c r="BM61" s="86"/>
      <c r="BN61" s="86"/>
      <c r="BO61" s="86"/>
      <c r="BP61" s="86"/>
      <c r="BQ61" s="86"/>
      <c r="BR61" s="86"/>
      <c r="BS61" s="86"/>
      <c r="BT61" s="86"/>
      <c r="BU61" s="86"/>
      <c r="BV61" s="86"/>
    </row>
    <row r="62" spans="1:74">
      <c r="A62" s="86"/>
      <c r="B62" s="86"/>
      <c r="C62" s="86"/>
      <c r="D62" s="86"/>
      <c r="E62" s="86"/>
      <c r="F62" s="86"/>
      <c r="G62" s="86"/>
      <c r="H62" s="86"/>
      <c r="I62" s="86"/>
      <c r="J62" s="86"/>
      <c r="K62" s="86"/>
      <c r="L62" s="86"/>
      <c r="M62" s="86"/>
      <c r="N62" s="86"/>
      <c r="O62" s="86"/>
      <c r="P62" s="86"/>
      <c r="Q62" s="86"/>
      <c r="R62" s="86"/>
      <c r="S62" s="86"/>
      <c r="T62" s="106"/>
      <c r="U62" s="86"/>
      <c r="V62" s="86"/>
      <c r="W62" s="86"/>
      <c r="X62" s="86"/>
      <c r="Y62" s="86"/>
      <c r="Z62" s="86"/>
      <c r="AA62" s="86"/>
      <c r="AB62" s="86"/>
      <c r="AC62" s="86"/>
      <c r="AD62" s="86"/>
      <c r="AE62" s="86"/>
      <c r="AF62" s="512"/>
      <c r="AG62" s="86"/>
      <c r="AH62" s="86"/>
      <c r="AI62" s="86"/>
      <c r="AJ62" s="86"/>
      <c r="AK62" s="86"/>
      <c r="AL62" s="86"/>
      <c r="AM62" s="86"/>
      <c r="AN62" s="86"/>
      <c r="AO62" s="86"/>
      <c r="AP62" s="86"/>
      <c r="AQ62" s="86"/>
      <c r="AR62" s="86"/>
      <c r="AS62" s="86"/>
      <c r="AT62" s="86"/>
      <c r="AU62" s="86"/>
      <c r="AV62" s="86"/>
      <c r="AW62" s="86"/>
      <c r="AX62" s="86"/>
      <c r="AY62" s="86"/>
      <c r="AZ62" s="86"/>
      <c r="BA62" s="86"/>
      <c r="BB62" s="86"/>
      <c r="BC62" s="86"/>
      <c r="BD62" s="86"/>
      <c r="BE62" s="86"/>
      <c r="BF62" s="86"/>
      <c r="BG62" s="86"/>
      <c r="BH62" s="86"/>
      <c r="BI62" s="86"/>
      <c r="BJ62" s="86"/>
      <c r="BK62" s="86"/>
      <c r="BL62" s="86"/>
      <c r="BM62" s="86"/>
      <c r="BN62" s="86"/>
      <c r="BO62" s="86"/>
      <c r="BP62" s="86"/>
      <c r="BQ62" s="86"/>
      <c r="BR62" s="86"/>
      <c r="BS62" s="86"/>
      <c r="BT62" s="86"/>
      <c r="BU62" s="86"/>
      <c r="BV62" s="86"/>
    </row>
    <row r="63" spans="1:74">
      <c r="A63" s="86"/>
      <c r="B63" s="86"/>
      <c r="C63" s="86"/>
      <c r="D63" s="86"/>
      <c r="E63" s="86"/>
      <c r="F63" s="86"/>
      <c r="G63" s="86"/>
      <c r="H63" s="86"/>
      <c r="I63" s="86"/>
      <c r="J63" s="86"/>
      <c r="K63" s="86"/>
      <c r="L63" s="86"/>
      <c r="M63" s="86"/>
      <c r="N63" s="86"/>
      <c r="O63" s="86"/>
      <c r="P63" s="86"/>
      <c r="Q63" s="86"/>
      <c r="R63" s="86"/>
      <c r="S63" s="86"/>
      <c r="T63" s="106"/>
      <c r="U63" s="86"/>
      <c r="V63" s="86"/>
      <c r="W63" s="86"/>
      <c r="X63" s="86"/>
      <c r="Y63" s="86"/>
      <c r="Z63" s="86"/>
      <c r="AA63" s="86"/>
      <c r="AB63" s="86"/>
      <c r="AC63" s="86"/>
      <c r="AD63" s="86"/>
      <c r="AE63" s="86"/>
      <c r="AF63" s="512"/>
      <c r="AG63" s="86"/>
      <c r="AH63" s="86"/>
      <c r="AI63" s="86"/>
      <c r="AJ63" s="86"/>
      <c r="AK63" s="86"/>
      <c r="AL63" s="86"/>
      <c r="AM63" s="86"/>
      <c r="AN63" s="86"/>
      <c r="AO63" s="86"/>
      <c r="AP63" s="86"/>
      <c r="AQ63" s="86"/>
      <c r="AR63" s="86"/>
      <c r="AS63" s="86"/>
      <c r="AT63" s="86"/>
      <c r="AU63" s="86"/>
      <c r="AV63" s="86"/>
      <c r="AW63" s="86"/>
      <c r="AX63" s="86"/>
      <c r="AY63" s="86"/>
      <c r="AZ63" s="86"/>
      <c r="BA63" s="86"/>
      <c r="BB63" s="86"/>
      <c r="BC63" s="86"/>
      <c r="BD63" s="86"/>
      <c r="BE63" s="86"/>
      <c r="BF63" s="86"/>
      <c r="BG63" s="86"/>
      <c r="BH63" s="86"/>
      <c r="BI63" s="86"/>
      <c r="BJ63" s="86"/>
      <c r="BK63" s="86"/>
      <c r="BL63" s="86"/>
      <c r="BM63" s="86"/>
      <c r="BN63" s="86"/>
      <c r="BO63" s="86"/>
      <c r="BP63" s="86"/>
      <c r="BQ63" s="86"/>
      <c r="BR63" s="86"/>
      <c r="BS63" s="86"/>
      <c r="BT63" s="86"/>
      <c r="BU63" s="86"/>
      <c r="BV63" s="86"/>
    </row>
    <row r="64" spans="1:74">
      <c r="A64" s="86"/>
      <c r="B64" s="86"/>
      <c r="C64" s="86"/>
      <c r="D64" s="86"/>
      <c r="E64" s="86"/>
      <c r="F64" s="86"/>
      <c r="G64" s="86"/>
      <c r="H64" s="86"/>
      <c r="I64" s="86"/>
      <c r="J64" s="86"/>
      <c r="K64" s="86"/>
      <c r="L64" s="86"/>
      <c r="M64" s="86"/>
      <c r="N64" s="86"/>
      <c r="O64" s="86"/>
      <c r="P64" s="86"/>
      <c r="Q64" s="86"/>
      <c r="R64" s="86"/>
      <c r="S64" s="86"/>
      <c r="T64" s="106"/>
      <c r="U64" s="86"/>
      <c r="V64" s="86"/>
      <c r="W64" s="86"/>
      <c r="X64" s="86"/>
      <c r="Y64" s="86"/>
      <c r="Z64" s="86"/>
      <c r="AA64" s="86"/>
      <c r="AB64" s="86"/>
      <c r="AC64" s="86"/>
      <c r="AD64" s="86"/>
      <c r="AE64" s="86"/>
      <c r="AF64" s="512"/>
      <c r="AG64" s="86"/>
      <c r="AH64" s="86"/>
      <c r="AI64" s="86"/>
      <c r="AJ64" s="86"/>
      <c r="AK64" s="86"/>
      <c r="AL64" s="86"/>
      <c r="AM64" s="86"/>
      <c r="AN64" s="86"/>
      <c r="AO64" s="86"/>
      <c r="AP64" s="86"/>
      <c r="AQ64" s="86"/>
      <c r="AR64" s="86"/>
      <c r="AS64" s="86"/>
      <c r="AT64" s="86"/>
      <c r="AU64" s="86"/>
      <c r="AV64" s="86"/>
      <c r="AW64" s="86"/>
      <c r="AX64" s="86"/>
      <c r="AY64" s="86"/>
      <c r="AZ64" s="86"/>
      <c r="BA64" s="86"/>
      <c r="BB64" s="86"/>
      <c r="BC64" s="86"/>
      <c r="BD64" s="86"/>
      <c r="BE64" s="86"/>
      <c r="BF64" s="86"/>
      <c r="BG64" s="86"/>
      <c r="BH64" s="86"/>
      <c r="BI64" s="86"/>
      <c r="BJ64" s="86"/>
      <c r="BK64" s="86"/>
      <c r="BL64" s="86"/>
      <c r="BM64" s="86"/>
      <c r="BN64" s="86"/>
      <c r="BO64" s="86"/>
      <c r="BP64" s="86"/>
      <c r="BQ64" s="86"/>
      <c r="BR64" s="86"/>
      <c r="BS64" s="86"/>
      <c r="BT64" s="86"/>
      <c r="BU64" s="86"/>
      <c r="BV64" s="86"/>
    </row>
    <row r="65" spans="1:74">
      <c r="A65" s="86"/>
      <c r="B65" s="86"/>
      <c r="C65" s="86"/>
      <c r="D65" s="86"/>
      <c r="E65" s="86"/>
      <c r="F65" s="86"/>
      <c r="G65" s="86"/>
      <c r="H65" s="86"/>
      <c r="I65" s="86"/>
      <c r="J65" s="86"/>
      <c r="K65" s="86"/>
      <c r="L65" s="86"/>
      <c r="M65" s="86"/>
      <c r="N65" s="86"/>
      <c r="O65" s="86"/>
      <c r="P65" s="86"/>
      <c r="Q65" s="86"/>
      <c r="R65" s="86"/>
      <c r="S65" s="86"/>
      <c r="T65" s="106"/>
      <c r="U65" s="86"/>
      <c r="V65" s="86"/>
      <c r="W65" s="86"/>
      <c r="X65" s="86"/>
      <c r="Y65" s="86"/>
      <c r="Z65" s="86"/>
      <c r="AA65" s="86"/>
      <c r="AB65" s="86"/>
      <c r="AC65" s="86"/>
      <c r="AD65" s="86"/>
      <c r="AE65" s="86"/>
      <c r="AF65" s="512"/>
      <c r="AG65" s="86"/>
      <c r="AH65" s="86"/>
      <c r="AI65" s="86"/>
      <c r="AJ65" s="86"/>
      <c r="AK65" s="86"/>
      <c r="AL65" s="86"/>
      <c r="AM65" s="86"/>
      <c r="AN65" s="86"/>
      <c r="AO65" s="86"/>
      <c r="AP65" s="86"/>
      <c r="AQ65" s="86"/>
      <c r="AR65" s="86"/>
      <c r="AS65" s="86"/>
      <c r="AT65" s="86"/>
      <c r="AU65" s="86"/>
      <c r="AV65" s="86"/>
      <c r="AW65" s="86"/>
      <c r="AX65" s="86"/>
      <c r="AY65" s="86"/>
      <c r="AZ65" s="86"/>
      <c r="BA65" s="86"/>
      <c r="BB65" s="86"/>
      <c r="BC65" s="86"/>
      <c r="BD65" s="86"/>
      <c r="BE65" s="86"/>
      <c r="BF65" s="86"/>
      <c r="BG65" s="86"/>
      <c r="BH65" s="86"/>
      <c r="BI65" s="86"/>
      <c r="BJ65" s="86"/>
      <c r="BK65" s="86"/>
      <c r="BL65" s="86"/>
      <c r="BM65" s="86"/>
      <c r="BN65" s="86"/>
      <c r="BO65" s="86"/>
      <c r="BP65" s="86"/>
      <c r="BQ65" s="86"/>
      <c r="BR65" s="86"/>
      <c r="BS65" s="86"/>
      <c r="BT65" s="86"/>
      <c r="BU65" s="86"/>
      <c r="BV65" s="86"/>
    </row>
    <row r="66" spans="1:74">
      <c r="A66" s="86"/>
      <c r="B66" s="86"/>
      <c r="C66" s="86"/>
      <c r="D66" s="86"/>
      <c r="E66" s="86"/>
      <c r="F66" s="86"/>
      <c r="G66" s="86"/>
      <c r="H66" s="86"/>
      <c r="I66" s="86"/>
      <c r="J66" s="86"/>
      <c r="K66" s="86"/>
      <c r="L66" s="86"/>
      <c r="M66" s="86"/>
      <c r="N66" s="86"/>
      <c r="O66" s="86"/>
      <c r="P66" s="86"/>
      <c r="Q66" s="86"/>
      <c r="R66" s="86"/>
      <c r="S66" s="86"/>
      <c r="T66" s="106"/>
      <c r="U66" s="86"/>
      <c r="V66" s="86"/>
      <c r="W66" s="86"/>
      <c r="X66" s="86"/>
      <c r="Y66" s="86"/>
      <c r="Z66" s="86"/>
      <c r="AA66" s="86"/>
      <c r="AB66" s="86"/>
      <c r="AC66" s="86"/>
      <c r="AD66" s="86"/>
      <c r="AE66" s="86"/>
      <c r="AF66" s="512"/>
      <c r="AG66" s="86"/>
      <c r="AH66" s="86"/>
      <c r="AI66" s="86"/>
      <c r="AJ66" s="86"/>
      <c r="AK66" s="86"/>
      <c r="AL66" s="86"/>
      <c r="AM66" s="86"/>
      <c r="AN66" s="86"/>
      <c r="AO66" s="86"/>
      <c r="AP66" s="86"/>
      <c r="AQ66" s="86"/>
      <c r="AR66" s="86"/>
      <c r="AS66" s="86"/>
      <c r="AT66" s="86"/>
      <c r="AU66" s="86"/>
      <c r="AV66" s="86"/>
      <c r="AW66" s="86"/>
      <c r="AX66" s="86"/>
      <c r="AY66" s="86"/>
      <c r="AZ66" s="86"/>
      <c r="BA66" s="86"/>
      <c r="BB66" s="86"/>
      <c r="BC66" s="86"/>
      <c r="BD66" s="86"/>
      <c r="BE66" s="86"/>
      <c r="BF66" s="86"/>
      <c r="BG66" s="86"/>
      <c r="BH66" s="86"/>
      <c r="BI66" s="86"/>
      <c r="BJ66" s="86"/>
      <c r="BK66" s="86"/>
      <c r="BL66" s="86"/>
      <c r="BM66" s="86"/>
      <c r="BN66" s="86"/>
      <c r="BO66" s="86"/>
      <c r="BP66" s="86"/>
      <c r="BQ66" s="86"/>
      <c r="BR66" s="86"/>
      <c r="BS66" s="86"/>
      <c r="BT66" s="86"/>
      <c r="BU66" s="86"/>
      <c r="BV66" s="86"/>
    </row>
    <row r="67" spans="1:74">
      <c r="A67" s="86"/>
      <c r="B67" s="86"/>
      <c r="C67" s="86"/>
      <c r="D67" s="86"/>
      <c r="E67" s="86"/>
      <c r="F67" s="86"/>
      <c r="G67" s="86"/>
      <c r="H67" s="86"/>
      <c r="I67" s="86"/>
      <c r="J67" s="86"/>
      <c r="K67" s="86"/>
      <c r="L67" s="86"/>
      <c r="M67" s="86"/>
      <c r="N67" s="86"/>
      <c r="O67" s="86"/>
      <c r="P67" s="86"/>
      <c r="Q67" s="86"/>
      <c r="R67" s="86"/>
      <c r="S67" s="86"/>
      <c r="T67" s="106"/>
      <c r="U67" s="86"/>
      <c r="V67" s="86"/>
      <c r="W67" s="86"/>
      <c r="X67" s="86"/>
      <c r="Y67" s="86"/>
      <c r="Z67" s="86"/>
      <c r="AA67" s="86"/>
      <c r="AB67" s="86"/>
      <c r="AC67" s="86"/>
      <c r="AD67" s="86"/>
      <c r="AE67" s="86"/>
      <c r="AF67" s="512"/>
      <c r="AG67" s="86"/>
      <c r="AH67" s="86"/>
      <c r="AI67" s="86"/>
      <c r="AJ67" s="86"/>
      <c r="AK67" s="86"/>
      <c r="AL67" s="86"/>
      <c r="AM67" s="86"/>
      <c r="AN67" s="86"/>
      <c r="AO67" s="86"/>
      <c r="AP67" s="86"/>
      <c r="AQ67" s="86"/>
      <c r="AR67" s="86"/>
      <c r="AS67" s="86"/>
      <c r="AT67" s="86"/>
      <c r="AU67" s="86"/>
      <c r="AV67" s="86"/>
      <c r="AW67" s="86"/>
      <c r="AX67" s="86"/>
      <c r="AY67" s="86"/>
      <c r="AZ67" s="86"/>
      <c r="BA67" s="86"/>
      <c r="BB67" s="86"/>
      <c r="BC67" s="86"/>
      <c r="BD67" s="86"/>
      <c r="BE67" s="86"/>
      <c r="BF67" s="86"/>
      <c r="BG67" s="86"/>
      <c r="BH67" s="86"/>
      <c r="BI67" s="86"/>
      <c r="BJ67" s="86"/>
      <c r="BK67" s="86"/>
      <c r="BL67" s="86"/>
      <c r="BM67" s="86"/>
      <c r="BN67" s="86"/>
      <c r="BO67" s="86"/>
      <c r="BP67" s="86"/>
      <c r="BQ67" s="86"/>
      <c r="BR67" s="86"/>
      <c r="BS67" s="86"/>
      <c r="BT67" s="86"/>
      <c r="BU67" s="86"/>
      <c r="BV67" s="86"/>
    </row>
    <row r="68" spans="1:74">
      <c r="A68" s="86"/>
      <c r="B68" s="86"/>
      <c r="C68" s="86"/>
      <c r="D68" s="86"/>
      <c r="E68" s="86"/>
      <c r="F68" s="86"/>
      <c r="G68" s="86"/>
      <c r="H68" s="86"/>
      <c r="I68" s="86"/>
      <c r="J68" s="86"/>
      <c r="K68" s="86"/>
      <c r="L68" s="86"/>
      <c r="M68" s="86"/>
      <c r="N68" s="86"/>
      <c r="O68" s="86"/>
      <c r="P68" s="86"/>
      <c r="Q68" s="86"/>
      <c r="R68" s="86"/>
      <c r="S68" s="86"/>
      <c r="T68" s="106"/>
      <c r="U68" s="86"/>
      <c r="V68" s="86"/>
      <c r="W68" s="86"/>
      <c r="X68" s="86"/>
      <c r="Y68" s="86"/>
      <c r="Z68" s="86"/>
      <c r="AA68" s="86"/>
      <c r="AB68" s="86"/>
      <c r="AC68" s="86"/>
      <c r="AD68" s="86"/>
      <c r="AE68" s="86"/>
      <c r="AF68" s="512"/>
      <c r="AG68" s="86"/>
      <c r="AH68" s="86"/>
      <c r="AI68" s="86"/>
      <c r="AJ68" s="86"/>
      <c r="AK68" s="86"/>
      <c r="AL68" s="86"/>
      <c r="AM68" s="86"/>
      <c r="AN68" s="86"/>
      <c r="AO68" s="86"/>
      <c r="AP68" s="86"/>
      <c r="AQ68" s="86"/>
      <c r="AR68" s="86"/>
      <c r="AS68" s="86"/>
      <c r="AT68" s="86"/>
      <c r="AU68" s="86"/>
      <c r="AV68" s="86"/>
      <c r="AW68" s="86"/>
      <c r="AX68" s="86"/>
      <c r="AY68" s="86"/>
      <c r="AZ68" s="86"/>
      <c r="BA68" s="86"/>
      <c r="BB68" s="86"/>
      <c r="BC68" s="86"/>
      <c r="BD68" s="86"/>
      <c r="BE68" s="86"/>
      <c r="BF68" s="86"/>
      <c r="BG68" s="86"/>
      <c r="BH68" s="86"/>
      <c r="BI68" s="86"/>
      <c r="BJ68" s="86"/>
      <c r="BK68" s="86"/>
      <c r="BL68" s="86"/>
      <c r="BM68" s="86"/>
      <c r="BN68" s="86"/>
      <c r="BO68" s="86"/>
      <c r="BP68" s="86"/>
      <c r="BQ68" s="86"/>
      <c r="BR68" s="86"/>
      <c r="BS68" s="86"/>
      <c r="BT68" s="86"/>
      <c r="BU68" s="86"/>
      <c r="BV68" s="86"/>
    </row>
    <row r="69" spans="1:74">
      <c r="A69" s="86"/>
      <c r="B69" s="86"/>
      <c r="C69" s="86"/>
      <c r="D69" s="86"/>
      <c r="E69" s="86"/>
      <c r="F69" s="86"/>
      <c r="G69" s="86"/>
      <c r="H69" s="86"/>
      <c r="I69" s="86"/>
      <c r="J69" s="86"/>
      <c r="K69" s="86"/>
      <c r="L69" s="86"/>
      <c r="M69" s="86"/>
      <c r="N69" s="86"/>
      <c r="O69" s="86"/>
      <c r="P69" s="86"/>
      <c r="Q69" s="86"/>
      <c r="R69" s="86"/>
      <c r="S69" s="86"/>
      <c r="T69" s="106"/>
      <c r="U69" s="86"/>
      <c r="V69" s="86"/>
      <c r="W69" s="86"/>
      <c r="X69" s="86"/>
      <c r="Y69" s="86"/>
      <c r="Z69" s="86"/>
      <c r="AA69" s="86"/>
      <c r="AB69" s="86"/>
      <c r="AC69" s="86"/>
      <c r="AD69" s="86"/>
      <c r="AE69" s="86"/>
      <c r="AF69" s="512"/>
      <c r="AG69" s="86"/>
      <c r="AH69" s="86"/>
      <c r="AI69" s="86"/>
      <c r="AJ69" s="86"/>
      <c r="AK69" s="86"/>
      <c r="AL69" s="86"/>
      <c r="AM69" s="86"/>
      <c r="AN69" s="86"/>
      <c r="AO69" s="86"/>
      <c r="AP69" s="86"/>
      <c r="AQ69" s="86"/>
      <c r="AR69" s="86"/>
      <c r="AS69" s="86"/>
      <c r="AT69" s="86"/>
      <c r="AU69" s="86"/>
      <c r="AV69" s="86"/>
      <c r="AW69" s="86"/>
      <c r="AX69" s="86"/>
      <c r="AY69" s="86"/>
      <c r="AZ69" s="86"/>
      <c r="BA69" s="86"/>
      <c r="BB69" s="86"/>
      <c r="BC69" s="86"/>
      <c r="BD69" s="86"/>
      <c r="BE69" s="86"/>
      <c r="BF69" s="86"/>
      <c r="BG69" s="86"/>
      <c r="BH69" s="86"/>
      <c r="BI69" s="86"/>
      <c r="BJ69" s="86"/>
      <c r="BK69" s="86"/>
      <c r="BL69" s="86"/>
      <c r="BM69" s="86"/>
      <c r="BN69" s="86"/>
      <c r="BO69" s="86"/>
      <c r="BP69" s="86"/>
      <c r="BQ69" s="86"/>
      <c r="BR69" s="86"/>
      <c r="BS69" s="86"/>
      <c r="BT69" s="86"/>
      <c r="BU69" s="86"/>
      <c r="BV69" s="86"/>
    </row>
    <row r="70" spans="1:74">
      <c r="A70" s="86"/>
      <c r="B70" s="86"/>
      <c r="C70" s="86"/>
      <c r="D70" s="86"/>
      <c r="E70" s="86"/>
      <c r="F70" s="86"/>
      <c r="G70" s="86"/>
      <c r="H70" s="86"/>
      <c r="I70" s="86"/>
      <c r="J70" s="86"/>
      <c r="K70" s="86"/>
      <c r="L70" s="86"/>
      <c r="M70" s="86"/>
      <c r="N70" s="86"/>
      <c r="O70" s="86"/>
      <c r="P70" s="86"/>
      <c r="Q70" s="86"/>
      <c r="R70" s="86"/>
      <c r="S70" s="86"/>
      <c r="T70" s="106"/>
      <c r="U70" s="86"/>
      <c r="V70" s="86"/>
      <c r="W70" s="86"/>
      <c r="X70" s="86"/>
      <c r="Y70" s="86"/>
      <c r="Z70" s="86"/>
      <c r="AA70" s="86"/>
      <c r="AB70" s="86"/>
      <c r="AC70" s="86"/>
      <c r="AD70" s="86"/>
      <c r="AE70" s="86"/>
      <c r="AF70" s="512"/>
      <c r="AG70" s="86"/>
      <c r="AH70" s="86"/>
      <c r="AI70" s="86"/>
      <c r="AJ70" s="86"/>
      <c r="AK70" s="86"/>
      <c r="AL70" s="86"/>
      <c r="AM70" s="86"/>
      <c r="AN70" s="86"/>
      <c r="AO70" s="86"/>
      <c r="AP70" s="86"/>
      <c r="AQ70" s="86"/>
      <c r="AR70" s="86"/>
      <c r="AS70" s="86"/>
      <c r="AT70" s="86"/>
      <c r="AU70" s="86"/>
      <c r="AV70" s="86"/>
      <c r="AW70" s="86"/>
      <c r="AX70" s="86"/>
      <c r="AY70" s="86"/>
      <c r="AZ70" s="86"/>
      <c r="BA70" s="86"/>
      <c r="BB70" s="86"/>
      <c r="BC70" s="86"/>
      <c r="BD70" s="86"/>
      <c r="BE70" s="86"/>
      <c r="BF70" s="86"/>
      <c r="BG70" s="86"/>
      <c r="BH70" s="86"/>
      <c r="BI70" s="86"/>
      <c r="BJ70" s="86"/>
      <c r="BK70" s="86"/>
      <c r="BL70" s="86"/>
      <c r="BM70" s="86"/>
      <c r="BN70" s="86"/>
      <c r="BO70" s="86"/>
      <c r="BP70" s="86"/>
      <c r="BQ70" s="86"/>
      <c r="BR70" s="86"/>
      <c r="BS70" s="86"/>
      <c r="BT70" s="86"/>
      <c r="BU70" s="86"/>
      <c r="BV70" s="86"/>
    </row>
    <row r="71" spans="1:74">
      <c r="A71" s="86"/>
      <c r="B71" s="86"/>
      <c r="C71" s="86"/>
      <c r="D71" s="86"/>
      <c r="E71" s="86"/>
      <c r="F71" s="86"/>
      <c r="G71" s="86"/>
      <c r="H71" s="86"/>
      <c r="I71" s="86"/>
      <c r="J71" s="86"/>
      <c r="K71" s="86"/>
      <c r="L71" s="86"/>
      <c r="M71" s="86"/>
      <c r="N71" s="86"/>
      <c r="O71" s="86"/>
      <c r="P71" s="86"/>
      <c r="Q71" s="86"/>
      <c r="R71" s="86"/>
      <c r="S71" s="86"/>
      <c r="T71" s="106"/>
      <c r="U71" s="86"/>
      <c r="V71" s="86"/>
      <c r="W71" s="86"/>
      <c r="X71" s="86"/>
      <c r="Y71" s="86"/>
      <c r="Z71" s="86"/>
      <c r="AA71" s="86"/>
      <c r="AB71" s="86"/>
      <c r="AC71" s="86"/>
      <c r="AD71" s="86"/>
      <c r="AE71" s="86"/>
      <c r="AF71" s="512"/>
      <c r="AG71" s="86"/>
      <c r="AH71" s="86"/>
      <c r="AI71" s="86"/>
      <c r="AJ71" s="86"/>
      <c r="AK71" s="86"/>
      <c r="AL71" s="86"/>
      <c r="AM71" s="86"/>
      <c r="AN71" s="86"/>
      <c r="AO71" s="86"/>
      <c r="AP71" s="86"/>
      <c r="AQ71" s="86"/>
      <c r="AR71" s="86"/>
      <c r="AS71" s="86"/>
      <c r="AT71" s="86"/>
      <c r="AU71" s="86"/>
      <c r="AV71" s="86"/>
      <c r="AW71" s="86"/>
      <c r="AX71" s="86"/>
      <c r="AY71" s="86"/>
      <c r="AZ71" s="86"/>
      <c r="BA71" s="86"/>
      <c r="BB71" s="86"/>
      <c r="BC71" s="86"/>
      <c r="BD71" s="86"/>
      <c r="BE71" s="86"/>
      <c r="BF71" s="86"/>
      <c r="BG71" s="86"/>
      <c r="BH71" s="86"/>
      <c r="BI71" s="86"/>
      <c r="BJ71" s="86"/>
      <c r="BK71" s="86"/>
      <c r="BL71" s="86"/>
      <c r="BM71" s="86"/>
      <c r="BN71" s="86"/>
      <c r="BO71" s="86"/>
      <c r="BP71" s="86"/>
      <c r="BQ71" s="86"/>
      <c r="BR71" s="86"/>
      <c r="BS71" s="86"/>
      <c r="BT71" s="86"/>
      <c r="BU71" s="86"/>
      <c r="BV71" s="86"/>
    </row>
    <row r="72" spans="1:74">
      <c r="A72" s="86"/>
      <c r="B72" s="86"/>
      <c r="C72" s="86"/>
      <c r="D72" s="86"/>
      <c r="E72" s="86"/>
      <c r="F72" s="86"/>
      <c r="G72" s="86"/>
      <c r="H72" s="86"/>
      <c r="I72" s="86"/>
      <c r="J72" s="86"/>
      <c r="K72" s="86"/>
      <c r="L72" s="86"/>
      <c r="M72" s="86"/>
      <c r="N72" s="86"/>
      <c r="O72" s="86"/>
      <c r="P72" s="86"/>
      <c r="Q72" s="86"/>
      <c r="R72" s="86"/>
      <c r="S72" s="86"/>
      <c r="T72" s="106"/>
      <c r="U72" s="86"/>
      <c r="V72" s="86"/>
      <c r="W72" s="86"/>
      <c r="X72" s="86"/>
      <c r="Y72" s="86"/>
      <c r="Z72" s="86"/>
      <c r="AA72" s="86"/>
      <c r="AB72" s="86"/>
      <c r="AC72" s="86"/>
      <c r="AD72" s="86"/>
      <c r="AE72" s="86"/>
      <c r="AF72" s="512"/>
      <c r="AG72" s="86"/>
      <c r="AH72" s="86"/>
      <c r="AI72" s="86"/>
      <c r="AJ72" s="86"/>
      <c r="AK72" s="86"/>
      <c r="AL72" s="86"/>
      <c r="AM72" s="86"/>
      <c r="AN72" s="86"/>
      <c r="AO72" s="86"/>
      <c r="AP72" s="86"/>
      <c r="AQ72" s="86"/>
      <c r="AR72" s="86"/>
      <c r="AS72" s="86"/>
      <c r="AT72" s="86"/>
      <c r="AU72" s="86"/>
      <c r="AV72" s="86"/>
      <c r="AW72" s="86"/>
      <c r="AX72" s="86"/>
      <c r="AY72" s="86"/>
      <c r="AZ72" s="86"/>
      <c r="BA72" s="86"/>
      <c r="BB72" s="86"/>
      <c r="BC72" s="86"/>
      <c r="BD72" s="86"/>
      <c r="BE72" s="86"/>
      <c r="BF72" s="86"/>
      <c r="BG72" s="86"/>
      <c r="BH72" s="86"/>
      <c r="BI72" s="86"/>
      <c r="BJ72" s="86"/>
      <c r="BK72" s="86"/>
      <c r="BL72" s="86"/>
      <c r="BM72" s="86"/>
      <c r="BN72" s="86"/>
      <c r="BO72" s="86"/>
      <c r="BP72" s="86"/>
      <c r="BQ72" s="86"/>
      <c r="BR72" s="86"/>
      <c r="BS72" s="86"/>
      <c r="BT72" s="86"/>
      <c r="BU72" s="86"/>
      <c r="BV72" s="86"/>
    </row>
    <row r="73" spans="1:74">
      <c r="A73" s="86"/>
      <c r="B73" s="86"/>
      <c r="C73" s="86"/>
      <c r="D73" s="86"/>
      <c r="E73" s="86"/>
      <c r="F73" s="86"/>
      <c r="G73" s="86"/>
      <c r="H73" s="86"/>
      <c r="I73" s="86"/>
      <c r="J73" s="86"/>
      <c r="K73" s="86"/>
      <c r="L73" s="86"/>
      <c r="M73" s="86"/>
      <c r="N73" s="86"/>
      <c r="O73" s="86"/>
      <c r="P73" s="86"/>
      <c r="Q73" s="86"/>
      <c r="R73" s="86"/>
      <c r="S73" s="86"/>
      <c r="T73" s="106"/>
      <c r="U73" s="86"/>
      <c r="V73" s="86"/>
      <c r="W73" s="86"/>
      <c r="X73" s="86"/>
      <c r="Y73" s="86"/>
      <c r="Z73" s="86"/>
      <c r="AA73" s="86"/>
      <c r="AB73" s="86"/>
      <c r="AC73" s="86"/>
      <c r="AD73" s="86"/>
      <c r="AE73" s="86"/>
      <c r="AF73" s="512"/>
      <c r="AG73" s="86"/>
      <c r="AH73" s="86"/>
      <c r="AI73" s="86"/>
      <c r="AJ73" s="86"/>
      <c r="AK73" s="86"/>
      <c r="AL73" s="86"/>
      <c r="AM73" s="86"/>
      <c r="AN73" s="86"/>
      <c r="AO73" s="86"/>
      <c r="AP73" s="86"/>
      <c r="AQ73" s="86"/>
      <c r="AR73" s="86"/>
      <c r="AS73" s="86"/>
      <c r="AT73" s="86"/>
      <c r="AU73" s="86"/>
      <c r="AV73" s="86"/>
      <c r="AW73" s="86"/>
      <c r="AX73" s="86"/>
      <c r="AY73" s="86"/>
      <c r="AZ73" s="86"/>
      <c r="BA73" s="86"/>
      <c r="BB73" s="86"/>
      <c r="BC73" s="86"/>
      <c r="BD73" s="86"/>
      <c r="BE73" s="86"/>
      <c r="BF73" s="86"/>
      <c r="BG73" s="86"/>
      <c r="BH73" s="86"/>
      <c r="BI73" s="86"/>
      <c r="BJ73" s="86"/>
      <c r="BK73" s="86"/>
      <c r="BL73" s="86"/>
      <c r="BM73" s="86"/>
      <c r="BN73" s="86"/>
      <c r="BO73" s="86"/>
      <c r="BP73" s="86"/>
      <c r="BQ73" s="86"/>
      <c r="BR73" s="86"/>
      <c r="BS73" s="86"/>
      <c r="BT73" s="86"/>
      <c r="BU73" s="86"/>
      <c r="BV73" s="86"/>
    </row>
    <row r="74" spans="1:74">
      <c r="A74" s="86"/>
      <c r="B74" s="86"/>
      <c r="C74" s="86"/>
      <c r="D74" s="86"/>
      <c r="E74" s="86"/>
      <c r="F74" s="86"/>
      <c r="G74" s="86"/>
      <c r="H74" s="86"/>
      <c r="I74" s="86"/>
      <c r="J74" s="86"/>
      <c r="K74" s="86"/>
      <c r="L74" s="86"/>
      <c r="M74" s="86"/>
      <c r="N74" s="86"/>
      <c r="O74" s="86"/>
      <c r="P74" s="86"/>
      <c r="Q74" s="86"/>
      <c r="R74" s="86"/>
      <c r="S74" s="86"/>
      <c r="T74" s="106"/>
      <c r="U74" s="86"/>
      <c r="V74" s="86"/>
      <c r="W74" s="86"/>
      <c r="X74" s="86"/>
      <c r="Y74" s="86"/>
      <c r="Z74" s="86"/>
      <c r="AA74" s="86"/>
      <c r="AB74" s="86"/>
      <c r="AC74" s="86"/>
      <c r="AD74" s="86"/>
      <c r="AE74" s="86"/>
      <c r="AF74" s="512"/>
      <c r="AG74" s="86"/>
      <c r="AH74" s="86"/>
      <c r="AI74" s="86"/>
      <c r="AJ74" s="86"/>
      <c r="AK74" s="86"/>
      <c r="AL74" s="86"/>
      <c r="AM74" s="86"/>
      <c r="AN74" s="86"/>
      <c r="AO74" s="86"/>
      <c r="AP74" s="86"/>
      <c r="AQ74" s="86"/>
      <c r="AR74" s="86"/>
      <c r="AS74" s="86"/>
      <c r="AT74" s="86"/>
      <c r="AU74" s="86"/>
      <c r="AV74" s="86"/>
      <c r="AW74" s="86"/>
      <c r="AX74" s="86"/>
      <c r="AY74" s="86"/>
      <c r="AZ74" s="86"/>
      <c r="BA74" s="86"/>
      <c r="BB74" s="86"/>
      <c r="BC74" s="86"/>
      <c r="BD74" s="86"/>
      <c r="BE74" s="86"/>
      <c r="BF74" s="86"/>
      <c r="BG74" s="86"/>
      <c r="BH74" s="86"/>
      <c r="BI74" s="86"/>
      <c r="BJ74" s="86"/>
      <c r="BK74" s="86"/>
      <c r="BL74" s="86"/>
      <c r="BM74" s="86"/>
      <c r="BN74" s="86"/>
      <c r="BO74" s="86"/>
      <c r="BP74" s="86"/>
      <c r="BQ74" s="86"/>
      <c r="BR74" s="86"/>
      <c r="BS74" s="86"/>
      <c r="BT74" s="86"/>
      <c r="BU74" s="86"/>
      <c r="BV74" s="86"/>
    </row>
    <row r="75" spans="1:74">
      <c r="A75" s="86"/>
      <c r="B75" s="86"/>
      <c r="C75" s="86"/>
      <c r="D75" s="86"/>
      <c r="E75" s="86"/>
      <c r="F75" s="86"/>
      <c r="G75" s="86"/>
      <c r="H75" s="86"/>
      <c r="I75" s="86"/>
      <c r="J75" s="86"/>
      <c r="K75" s="86"/>
      <c r="L75" s="86"/>
      <c r="M75" s="86"/>
      <c r="N75" s="86"/>
      <c r="O75" s="86"/>
      <c r="P75" s="86"/>
      <c r="Q75" s="86"/>
      <c r="R75" s="86"/>
      <c r="S75" s="86"/>
      <c r="T75" s="106"/>
      <c r="U75" s="86"/>
      <c r="V75" s="86"/>
      <c r="W75" s="86"/>
      <c r="X75" s="86"/>
      <c r="Y75" s="86"/>
      <c r="Z75" s="86"/>
      <c r="AA75" s="86"/>
      <c r="AB75" s="86"/>
      <c r="AC75" s="86"/>
      <c r="AD75" s="86"/>
      <c r="AE75" s="86"/>
      <c r="AF75" s="512"/>
      <c r="AG75" s="86"/>
      <c r="AH75" s="86"/>
      <c r="AI75" s="86"/>
      <c r="AJ75" s="86"/>
      <c r="AK75" s="86"/>
      <c r="AL75" s="86"/>
      <c r="AM75" s="86"/>
      <c r="AN75" s="86"/>
      <c r="AO75" s="86"/>
      <c r="AP75" s="86"/>
      <c r="AQ75" s="86"/>
      <c r="AR75" s="86"/>
      <c r="AS75" s="86"/>
      <c r="AT75" s="86"/>
      <c r="AU75" s="86"/>
      <c r="AV75" s="86"/>
      <c r="AW75" s="86"/>
      <c r="AX75" s="86"/>
      <c r="AY75" s="86"/>
      <c r="AZ75" s="86"/>
      <c r="BA75" s="86"/>
      <c r="BB75" s="86"/>
      <c r="BC75" s="86"/>
      <c r="BD75" s="86"/>
      <c r="BE75" s="86"/>
      <c r="BF75" s="86"/>
      <c r="BG75" s="86"/>
      <c r="BH75" s="86"/>
      <c r="BI75" s="86"/>
      <c r="BJ75" s="86"/>
      <c r="BK75" s="86"/>
      <c r="BL75" s="86"/>
      <c r="BM75" s="86"/>
      <c r="BN75" s="86"/>
      <c r="BO75" s="86"/>
      <c r="BP75" s="86"/>
      <c r="BQ75" s="86"/>
      <c r="BR75" s="86"/>
      <c r="BS75" s="86"/>
      <c r="BT75" s="86"/>
      <c r="BU75" s="86"/>
      <c r="BV75" s="86"/>
    </row>
    <row r="76" spans="1:74">
      <c r="A76" s="86"/>
      <c r="B76" s="86"/>
      <c r="C76" s="86"/>
      <c r="D76" s="86"/>
      <c r="E76" s="86"/>
      <c r="F76" s="86"/>
      <c r="G76" s="86"/>
      <c r="H76" s="86"/>
      <c r="I76" s="86"/>
      <c r="J76" s="86"/>
      <c r="K76" s="86"/>
      <c r="L76" s="86"/>
      <c r="M76" s="86"/>
      <c r="N76" s="86"/>
      <c r="O76" s="86"/>
      <c r="P76" s="86"/>
      <c r="Q76" s="86"/>
      <c r="R76" s="86"/>
      <c r="S76" s="86"/>
      <c r="T76" s="106"/>
      <c r="U76" s="86"/>
      <c r="V76" s="86"/>
      <c r="W76" s="86"/>
      <c r="X76" s="86"/>
      <c r="Y76" s="86"/>
      <c r="Z76" s="86"/>
      <c r="AA76" s="86"/>
      <c r="AB76" s="86"/>
      <c r="AC76" s="86"/>
      <c r="AD76" s="86"/>
      <c r="AE76" s="86"/>
      <c r="AF76" s="512"/>
      <c r="AG76" s="86"/>
      <c r="AH76" s="86"/>
      <c r="AI76" s="86"/>
      <c r="AJ76" s="86"/>
      <c r="AK76" s="86"/>
      <c r="AL76" s="86"/>
      <c r="AM76" s="86"/>
      <c r="AN76" s="86"/>
      <c r="AO76" s="86"/>
      <c r="AP76" s="86"/>
      <c r="AQ76" s="86"/>
      <c r="AR76" s="86"/>
      <c r="AS76" s="86"/>
      <c r="AT76" s="86"/>
      <c r="AU76" s="86"/>
      <c r="AV76" s="86"/>
    </row>
    <row r="77" spans="1:74">
      <c r="A77" s="86"/>
      <c r="B77" s="86"/>
      <c r="C77" s="86"/>
      <c r="D77" s="86"/>
      <c r="E77" s="86"/>
      <c r="F77" s="86"/>
      <c r="G77" s="86"/>
      <c r="H77" s="86"/>
      <c r="I77" s="86"/>
      <c r="J77" s="86"/>
      <c r="K77" s="86"/>
      <c r="L77" s="86"/>
      <c r="M77" s="86"/>
      <c r="N77" s="86"/>
      <c r="O77" s="86"/>
      <c r="P77" s="86"/>
      <c r="Q77" s="86"/>
      <c r="R77" s="86"/>
      <c r="S77" s="86"/>
      <c r="T77" s="106"/>
      <c r="U77" s="86"/>
      <c r="V77" s="86"/>
      <c r="W77" s="86"/>
      <c r="X77" s="86"/>
      <c r="Y77" s="86"/>
      <c r="Z77" s="86"/>
      <c r="AA77" s="86"/>
      <c r="AB77" s="86"/>
      <c r="AC77" s="86"/>
      <c r="AD77" s="86"/>
      <c r="AE77" s="86"/>
      <c r="AF77" s="512"/>
      <c r="AG77" s="86"/>
      <c r="AH77" s="86"/>
      <c r="AI77" s="86"/>
      <c r="AJ77" s="86"/>
      <c r="AK77" s="86"/>
      <c r="AL77" s="86"/>
      <c r="AM77" s="86"/>
      <c r="AN77" s="86"/>
      <c r="AO77" s="86"/>
      <c r="AP77" s="86"/>
      <c r="AQ77" s="86"/>
      <c r="AR77" s="86"/>
      <c r="AS77" s="86"/>
      <c r="AT77" s="86"/>
      <c r="AU77" s="86"/>
      <c r="AV77" s="86"/>
    </row>
    <row r="78" spans="1:74">
      <c r="A78" s="86"/>
      <c r="B78" s="86"/>
      <c r="C78" s="86"/>
      <c r="D78" s="86"/>
      <c r="E78" s="86"/>
      <c r="F78" s="86"/>
      <c r="G78" s="86"/>
      <c r="H78" s="86"/>
      <c r="I78" s="86"/>
      <c r="J78" s="86"/>
      <c r="K78" s="86"/>
      <c r="L78" s="86"/>
      <c r="M78" s="86"/>
      <c r="N78" s="86"/>
      <c r="O78" s="86"/>
      <c r="P78" s="86"/>
      <c r="Q78" s="86"/>
      <c r="R78" s="86"/>
      <c r="S78" s="86"/>
      <c r="T78" s="106"/>
      <c r="U78" s="86"/>
      <c r="V78" s="86"/>
      <c r="W78" s="86"/>
      <c r="X78" s="86"/>
      <c r="Y78" s="86"/>
      <c r="Z78" s="86"/>
      <c r="AA78" s="86"/>
      <c r="AB78" s="86"/>
      <c r="AC78" s="86"/>
      <c r="AD78" s="86"/>
      <c r="AE78" s="86"/>
      <c r="AF78" s="512"/>
      <c r="AG78" s="86"/>
      <c r="AH78" s="86"/>
      <c r="AI78" s="86"/>
      <c r="AJ78" s="86"/>
      <c r="AK78" s="86"/>
      <c r="AL78" s="86"/>
      <c r="AM78" s="86"/>
      <c r="AN78" s="86"/>
      <c r="AO78" s="86"/>
      <c r="AP78" s="86"/>
      <c r="AQ78" s="86"/>
      <c r="AR78" s="86"/>
      <c r="AS78" s="86"/>
      <c r="AT78" s="86"/>
      <c r="AU78" s="86"/>
      <c r="AV78" s="86"/>
    </row>
    <row r="79" spans="1:74">
      <c r="A79" s="86"/>
      <c r="B79" s="86"/>
      <c r="C79" s="86"/>
      <c r="D79" s="86"/>
      <c r="E79" s="86"/>
      <c r="F79" s="86"/>
      <c r="G79" s="86"/>
      <c r="H79" s="86"/>
      <c r="I79" s="86"/>
      <c r="J79" s="86"/>
      <c r="K79" s="86"/>
      <c r="L79" s="86"/>
      <c r="M79" s="86"/>
      <c r="N79" s="86"/>
      <c r="O79" s="86"/>
      <c r="P79" s="86"/>
      <c r="Q79" s="86"/>
      <c r="R79" s="86"/>
      <c r="S79" s="86"/>
      <c r="T79" s="106"/>
      <c r="U79" s="86"/>
      <c r="V79" s="86"/>
      <c r="W79" s="86"/>
      <c r="X79" s="86"/>
      <c r="Y79" s="86"/>
      <c r="Z79" s="86"/>
      <c r="AA79" s="86"/>
      <c r="AB79" s="86"/>
      <c r="AC79" s="86"/>
      <c r="AD79" s="86"/>
      <c r="AE79" s="86"/>
      <c r="AF79" s="512"/>
      <c r="AG79" s="86"/>
      <c r="AH79" s="86"/>
      <c r="AI79" s="86"/>
      <c r="AJ79" s="86"/>
      <c r="AK79" s="86"/>
      <c r="AL79" s="86"/>
      <c r="AM79" s="86"/>
      <c r="AN79" s="86"/>
      <c r="AO79" s="86"/>
      <c r="AP79" s="86"/>
      <c r="AQ79" s="86"/>
      <c r="AR79" s="86"/>
      <c r="AS79" s="86"/>
      <c r="AT79" s="86"/>
      <c r="AU79" s="86"/>
      <c r="AV79" s="86"/>
    </row>
    <row r="80" spans="1:74">
      <c r="A80" s="86"/>
      <c r="B80" s="86"/>
      <c r="C80" s="86"/>
      <c r="D80" s="86"/>
      <c r="E80" s="86"/>
      <c r="F80" s="86"/>
      <c r="G80" s="86"/>
      <c r="H80" s="86"/>
      <c r="I80" s="86"/>
      <c r="J80" s="86"/>
      <c r="K80" s="86"/>
      <c r="L80" s="86"/>
      <c r="M80" s="86"/>
      <c r="N80" s="86"/>
      <c r="O80" s="86"/>
      <c r="P80" s="86"/>
      <c r="Q80" s="86"/>
      <c r="R80" s="86"/>
      <c r="S80" s="86"/>
      <c r="T80" s="106"/>
      <c r="U80" s="86"/>
      <c r="V80" s="86"/>
      <c r="W80" s="86"/>
      <c r="X80" s="86"/>
      <c r="Y80" s="86"/>
      <c r="Z80" s="86"/>
      <c r="AA80" s="86"/>
      <c r="AB80" s="86"/>
      <c r="AC80" s="86"/>
      <c r="AD80" s="86"/>
      <c r="AE80" s="86"/>
      <c r="AF80" s="512"/>
      <c r="AG80" s="86"/>
      <c r="AH80" s="86"/>
      <c r="AI80" s="86"/>
      <c r="AJ80" s="86"/>
      <c r="AK80" s="86"/>
      <c r="AL80" s="86"/>
      <c r="AM80" s="86"/>
      <c r="AN80" s="86"/>
      <c r="AO80" s="86"/>
      <c r="AP80" s="86"/>
      <c r="AQ80" s="86"/>
      <c r="AR80" s="86"/>
      <c r="AS80" s="86"/>
      <c r="AT80" s="86"/>
      <c r="AU80" s="86"/>
      <c r="AV80" s="86"/>
    </row>
    <row r="81" spans="1:48">
      <c r="A81" s="86"/>
      <c r="B81" s="86"/>
      <c r="C81" s="86"/>
      <c r="D81" s="86"/>
      <c r="E81" s="86"/>
      <c r="F81" s="86"/>
      <c r="G81" s="86"/>
      <c r="H81" s="86"/>
      <c r="I81" s="86"/>
      <c r="J81" s="86"/>
      <c r="K81" s="86"/>
      <c r="L81" s="86"/>
      <c r="M81" s="86"/>
      <c r="N81" s="86"/>
      <c r="O81" s="86"/>
      <c r="P81" s="86"/>
      <c r="Q81" s="86"/>
      <c r="R81" s="86"/>
      <c r="S81" s="86"/>
      <c r="T81" s="106"/>
      <c r="U81" s="86"/>
      <c r="V81" s="86"/>
      <c r="W81" s="86"/>
      <c r="X81" s="86"/>
      <c r="Y81" s="86"/>
      <c r="Z81" s="86"/>
      <c r="AA81" s="86"/>
      <c r="AB81" s="86"/>
      <c r="AC81" s="86"/>
      <c r="AD81" s="86"/>
      <c r="AE81" s="86"/>
      <c r="AF81" s="512"/>
      <c r="AG81" s="86"/>
      <c r="AH81" s="86"/>
      <c r="AI81" s="86"/>
      <c r="AJ81" s="86"/>
      <c r="AK81" s="86"/>
      <c r="AL81" s="86"/>
      <c r="AM81" s="86"/>
      <c r="AN81" s="86"/>
      <c r="AO81" s="86"/>
      <c r="AP81" s="86"/>
      <c r="AQ81" s="86"/>
      <c r="AR81" s="86"/>
      <c r="AS81" s="86"/>
      <c r="AT81" s="86"/>
      <c r="AU81" s="86"/>
      <c r="AV81" s="86"/>
    </row>
    <row r="82" spans="1:48">
      <c r="A82" s="86"/>
      <c r="B82" s="86"/>
      <c r="C82" s="86"/>
      <c r="D82" s="86"/>
      <c r="E82" s="86"/>
      <c r="F82" s="86"/>
      <c r="G82" s="86"/>
      <c r="H82" s="86"/>
      <c r="I82" s="86"/>
      <c r="J82" s="86"/>
      <c r="K82" s="86"/>
      <c r="L82" s="86"/>
      <c r="M82" s="86"/>
      <c r="N82" s="86"/>
      <c r="O82" s="86"/>
      <c r="P82" s="86"/>
      <c r="Q82" s="86"/>
      <c r="R82" s="86"/>
      <c r="S82" s="86"/>
      <c r="T82" s="106"/>
      <c r="U82" s="86"/>
      <c r="V82" s="86"/>
      <c r="W82" s="86"/>
      <c r="X82" s="86"/>
      <c r="Y82" s="86"/>
      <c r="Z82" s="86"/>
      <c r="AA82" s="86"/>
      <c r="AB82" s="86"/>
      <c r="AC82" s="86"/>
      <c r="AD82" s="86"/>
      <c r="AE82" s="86"/>
      <c r="AF82" s="512"/>
      <c r="AG82" s="86"/>
      <c r="AH82" s="86"/>
      <c r="AI82" s="86"/>
      <c r="AJ82" s="86"/>
      <c r="AK82" s="86"/>
      <c r="AL82" s="86"/>
      <c r="AM82" s="86"/>
      <c r="AN82" s="86"/>
      <c r="AO82" s="86"/>
      <c r="AP82" s="86"/>
      <c r="AQ82" s="86"/>
      <c r="AR82" s="86"/>
      <c r="AS82" s="86"/>
      <c r="AT82" s="86"/>
      <c r="AU82" s="86"/>
      <c r="AV82" s="86"/>
    </row>
    <row r="83" spans="1:48">
      <c r="A83" s="86"/>
      <c r="B83" s="86"/>
      <c r="C83" s="86"/>
      <c r="D83" s="86"/>
      <c r="E83" s="86"/>
      <c r="F83" s="86"/>
      <c r="G83" s="86"/>
      <c r="H83" s="86"/>
      <c r="I83" s="86"/>
      <c r="J83" s="86"/>
      <c r="K83" s="86"/>
      <c r="L83" s="86"/>
      <c r="M83" s="86"/>
      <c r="N83" s="86"/>
      <c r="O83" s="86"/>
      <c r="P83" s="86"/>
      <c r="Q83" s="86"/>
      <c r="R83" s="86"/>
      <c r="S83" s="86"/>
      <c r="T83" s="106"/>
      <c r="U83" s="86"/>
      <c r="V83" s="86"/>
      <c r="W83" s="86"/>
      <c r="X83" s="86"/>
      <c r="Y83" s="86"/>
      <c r="Z83" s="86"/>
      <c r="AA83" s="86"/>
      <c r="AB83" s="86"/>
      <c r="AC83" s="86"/>
      <c r="AD83" s="86"/>
      <c r="AE83" s="86"/>
      <c r="AF83" s="512"/>
      <c r="AG83" s="86"/>
      <c r="AH83" s="86"/>
      <c r="AI83" s="86"/>
      <c r="AJ83" s="86"/>
      <c r="AK83" s="86"/>
      <c r="AL83" s="86"/>
      <c r="AM83" s="86"/>
      <c r="AN83" s="86"/>
      <c r="AO83" s="86"/>
      <c r="AP83" s="86"/>
      <c r="AQ83" s="86"/>
      <c r="AR83" s="86"/>
      <c r="AS83" s="86"/>
      <c r="AT83" s="86"/>
      <c r="AU83" s="86"/>
      <c r="AV83" s="86"/>
    </row>
    <row r="84" spans="1:48">
      <c r="A84" s="86"/>
      <c r="B84" s="86"/>
      <c r="C84" s="86"/>
      <c r="D84" s="86"/>
      <c r="E84" s="86"/>
      <c r="F84" s="86"/>
      <c r="G84" s="86"/>
      <c r="H84" s="86"/>
      <c r="I84" s="86"/>
      <c r="J84" s="86"/>
      <c r="K84" s="86"/>
      <c r="L84" s="86"/>
      <c r="M84" s="86"/>
      <c r="N84" s="86"/>
      <c r="O84" s="86"/>
      <c r="P84" s="86"/>
      <c r="Q84" s="86"/>
      <c r="R84" s="86"/>
      <c r="S84" s="86"/>
      <c r="T84" s="106"/>
      <c r="U84" s="86"/>
      <c r="V84" s="86"/>
      <c r="W84" s="86"/>
      <c r="X84" s="86"/>
      <c r="Y84" s="86"/>
      <c r="Z84" s="86"/>
      <c r="AA84" s="86"/>
      <c r="AB84" s="86"/>
      <c r="AC84" s="86"/>
      <c r="AD84" s="86"/>
      <c r="AE84" s="86"/>
      <c r="AF84" s="512"/>
      <c r="AG84" s="86"/>
      <c r="AH84" s="86"/>
      <c r="AI84" s="86"/>
      <c r="AJ84" s="86"/>
      <c r="AK84" s="86"/>
      <c r="AL84" s="86"/>
      <c r="AM84" s="86"/>
      <c r="AN84" s="86"/>
      <c r="AO84" s="86"/>
      <c r="AP84" s="86"/>
      <c r="AQ84" s="86"/>
      <c r="AR84" s="86"/>
      <c r="AS84" s="86"/>
      <c r="AT84" s="86"/>
      <c r="AU84" s="86"/>
      <c r="AV84" s="86"/>
    </row>
    <row r="85" spans="1:48">
      <c r="A85" s="86"/>
      <c r="B85" s="86"/>
      <c r="C85" s="86"/>
      <c r="D85" s="86"/>
      <c r="E85" s="86"/>
      <c r="F85" s="86"/>
      <c r="G85" s="86"/>
      <c r="H85" s="86"/>
      <c r="I85" s="86"/>
      <c r="J85" s="86"/>
      <c r="K85" s="86"/>
      <c r="L85" s="86"/>
      <c r="M85" s="86"/>
      <c r="N85" s="86"/>
      <c r="O85" s="86"/>
      <c r="P85" s="86"/>
      <c r="Q85" s="86"/>
      <c r="R85" s="86"/>
      <c r="S85" s="86"/>
      <c r="T85" s="106"/>
      <c r="U85" s="86"/>
      <c r="V85" s="86"/>
      <c r="W85" s="86"/>
      <c r="X85" s="86"/>
      <c r="Y85" s="86"/>
      <c r="Z85" s="86"/>
      <c r="AA85" s="86"/>
      <c r="AB85" s="86"/>
      <c r="AC85" s="86"/>
      <c r="AD85" s="86"/>
      <c r="AE85" s="86"/>
      <c r="AF85" s="512"/>
      <c r="AG85" s="86"/>
      <c r="AH85" s="86"/>
      <c r="AI85" s="86"/>
      <c r="AJ85" s="86"/>
      <c r="AK85" s="86"/>
      <c r="AL85" s="86"/>
      <c r="AM85" s="86"/>
      <c r="AN85" s="86"/>
      <c r="AO85" s="86"/>
      <c r="AP85" s="86"/>
      <c r="AQ85" s="86"/>
      <c r="AR85" s="86"/>
      <c r="AS85" s="86"/>
      <c r="AT85" s="86"/>
      <c r="AU85" s="86"/>
      <c r="AV85" s="86"/>
    </row>
    <row r="86" spans="1:48">
      <c r="A86" s="86"/>
      <c r="B86" s="86"/>
      <c r="C86" s="86"/>
      <c r="D86" s="86"/>
      <c r="E86" s="86"/>
      <c r="F86" s="86"/>
      <c r="G86" s="86"/>
      <c r="H86" s="86"/>
      <c r="I86" s="86"/>
      <c r="J86" s="86"/>
      <c r="K86" s="86"/>
      <c r="L86" s="86"/>
      <c r="M86" s="86"/>
      <c r="N86" s="86"/>
      <c r="O86" s="86"/>
      <c r="P86" s="86"/>
      <c r="Q86" s="86"/>
      <c r="R86" s="86"/>
      <c r="S86" s="86"/>
      <c r="T86" s="106"/>
      <c r="U86" s="86"/>
      <c r="V86" s="86"/>
      <c r="W86" s="86"/>
      <c r="X86" s="86"/>
      <c r="Y86" s="86"/>
      <c r="Z86" s="86"/>
      <c r="AA86" s="86"/>
      <c r="AB86" s="86"/>
      <c r="AC86" s="86"/>
      <c r="AD86" s="86"/>
      <c r="AE86" s="86"/>
      <c r="AF86" s="512"/>
      <c r="AG86" s="86"/>
      <c r="AH86" s="86"/>
      <c r="AI86" s="86"/>
      <c r="AJ86" s="86"/>
      <c r="AK86" s="86"/>
      <c r="AL86" s="86"/>
      <c r="AM86" s="86"/>
      <c r="AN86" s="86"/>
      <c r="AO86" s="86"/>
      <c r="AP86" s="86"/>
      <c r="AQ86" s="86"/>
      <c r="AR86" s="86"/>
      <c r="AS86" s="86"/>
      <c r="AT86" s="86"/>
      <c r="AU86" s="86"/>
      <c r="AV86" s="86"/>
    </row>
    <row r="87" spans="1:48">
      <c r="A87" s="86"/>
      <c r="B87" s="86"/>
      <c r="C87" s="86"/>
      <c r="D87" s="86"/>
      <c r="E87" s="86"/>
      <c r="F87" s="86"/>
      <c r="G87" s="86"/>
      <c r="H87" s="86"/>
      <c r="I87" s="86"/>
      <c r="J87" s="86"/>
      <c r="K87" s="86"/>
      <c r="L87" s="86"/>
      <c r="M87" s="86"/>
      <c r="N87" s="86"/>
      <c r="O87" s="86"/>
      <c r="P87" s="86"/>
      <c r="Q87" s="86"/>
      <c r="R87" s="86"/>
      <c r="S87" s="86"/>
      <c r="T87" s="106"/>
      <c r="U87" s="86"/>
      <c r="V87" s="86"/>
      <c r="W87" s="86"/>
      <c r="X87" s="86"/>
      <c r="Y87" s="86"/>
      <c r="Z87" s="86"/>
      <c r="AA87" s="86"/>
      <c r="AB87" s="86"/>
      <c r="AC87" s="86"/>
      <c r="AD87" s="86"/>
      <c r="AE87" s="86"/>
      <c r="AF87" s="512"/>
      <c r="AG87" s="86"/>
      <c r="AH87" s="86"/>
      <c r="AI87" s="86"/>
      <c r="AJ87" s="86"/>
      <c r="AK87" s="86"/>
      <c r="AL87" s="86"/>
      <c r="AM87" s="86"/>
      <c r="AN87" s="86"/>
      <c r="AO87" s="86"/>
      <c r="AP87" s="86"/>
      <c r="AQ87" s="86"/>
      <c r="AR87" s="86"/>
      <c r="AS87" s="86"/>
      <c r="AT87" s="86"/>
      <c r="AU87" s="86"/>
      <c r="AV87" s="86"/>
    </row>
    <row r="88" spans="1:48">
      <c r="A88" s="86"/>
      <c r="B88" s="86"/>
      <c r="C88" s="86"/>
      <c r="D88" s="86"/>
      <c r="E88" s="86"/>
      <c r="F88" s="86"/>
      <c r="G88" s="86"/>
      <c r="H88" s="86"/>
      <c r="I88" s="86"/>
      <c r="J88" s="86"/>
      <c r="K88" s="86"/>
      <c r="L88" s="86"/>
      <c r="M88" s="86"/>
      <c r="N88" s="86"/>
      <c r="O88" s="86"/>
      <c r="P88" s="86"/>
      <c r="Q88" s="86"/>
      <c r="R88" s="86"/>
      <c r="S88" s="86"/>
      <c r="T88" s="106"/>
      <c r="U88" s="86"/>
      <c r="V88" s="86"/>
      <c r="W88" s="86"/>
      <c r="X88" s="86"/>
      <c r="Y88" s="86"/>
      <c r="Z88" s="86"/>
      <c r="AA88" s="86"/>
      <c r="AB88" s="86"/>
      <c r="AC88" s="86"/>
      <c r="AD88" s="86"/>
      <c r="AE88" s="86"/>
      <c r="AF88" s="512"/>
      <c r="AG88" s="86"/>
      <c r="AH88" s="86"/>
      <c r="AI88" s="86"/>
      <c r="AJ88" s="86"/>
      <c r="AK88" s="86"/>
      <c r="AL88" s="86"/>
      <c r="AM88" s="86"/>
      <c r="AN88" s="86"/>
      <c r="AO88" s="86"/>
      <c r="AP88" s="86"/>
      <c r="AQ88" s="86"/>
      <c r="AR88" s="86"/>
      <c r="AS88" s="86"/>
      <c r="AT88" s="86"/>
      <c r="AU88" s="86"/>
      <c r="AV88" s="86"/>
    </row>
    <row r="89" spans="1:48">
      <c r="A89" s="86"/>
      <c r="B89" s="86"/>
      <c r="C89" s="86"/>
      <c r="D89" s="86"/>
      <c r="E89" s="86"/>
      <c r="F89" s="86"/>
      <c r="G89" s="86"/>
      <c r="H89" s="86"/>
      <c r="I89" s="86"/>
      <c r="J89" s="86"/>
      <c r="K89" s="86"/>
      <c r="L89" s="86"/>
      <c r="M89" s="86"/>
      <c r="N89" s="86"/>
      <c r="O89" s="86"/>
      <c r="P89" s="86"/>
      <c r="Q89" s="86"/>
      <c r="R89" s="86"/>
      <c r="S89" s="86"/>
      <c r="T89" s="106"/>
      <c r="U89" s="86"/>
      <c r="V89" s="86"/>
      <c r="W89" s="86"/>
      <c r="X89" s="86"/>
      <c r="Y89" s="86"/>
      <c r="Z89" s="86"/>
      <c r="AA89" s="86"/>
      <c r="AB89" s="86"/>
      <c r="AC89" s="86"/>
      <c r="AD89" s="86"/>
      <c r="AE89" s="86"/>
      <c r="AF89" s="512"/>
      <c r="AG89" s="86"/>
      <c r="AH89" s="86"/>
      <c r="AI89" s="86"/>
      <c r="AJ89" s="86"/>
      <c r="AK89" s="86"/>
      <c r="AL89" s="86"/>
      <c r="AM89" s="86"/>
      <c r="AN89" s="86"/>
      <c r="AO89" s="86"/>
      <c r="AP89" s="86"/>
      <c r="AQ89" s="86"/>
      <c r="AR89" s="86"/>
      <c r="AS89" s="86"/>
      <c r="AT89" s="86"/>
      <c r="AU89" s="86"/>
      <c r="AV89" s="86"/>
    </row>
    <row r="90" spans="1:48">
      <c r="A90" s="86"/>
      <c r="B90" s="86"/>
      <c r="C90" s="86"/>
      <c r="D90" s="86"/>
      <c r="E90" s="86"/>
      <c r="F90" s="86"/>
      <c r="G90" s="86"/>
      <c r="H90" s="86"/>
      <c r="I90" s="86"/>
      <c r="J90" s="86"/>
      <c r="K90" s="86"/>
      <c r="L90" s="86"/>
      <c r="M90" s="86"/>
      <c r="N90" s="86"/>
      <c r="O90" s="86"/>
      <c r="P90" s="86"/>
      <c r="Q90" s="86"/>
      <c r="R90" s="86"/>
      <c r="S90" s="86"/>
      <c r="T90" s="106"/>
      <c r="U90" s="86"/>
      <c r="V90" s="86"/>
      <c r="W90" s="86"/>
      <c r="X90" s="86"/>
      <c r="Y90" s="86"/>
      <c r="Z90" s="86"/>
      <c r="AA90" s="86"/>
      <c r="AB90" s="86"/>
      <c r="AC90" s="86"/>
      <c r="AD90" s="86"/>
      <c r="AE90" s="86"/>
      <c r="AF90" s="512"/>
      <c r="AG90" s="86"/>
      <c r="AH90" s="86"/>
      <c r="AI90" s="86"/>
      <c r="AJ90" s="86"/>
      <c r="AK90" s="86"/>
      <c r="AL90" s="86"/>
      <c r="AM90" s="86"/>
      <c r="AN90" s="86"/>
      <c r="AO90" s="86"/>
      <c r="AP90" s="86"/>
      <c r="AQ90" s="86"/>
      <c r="AR90" s="86"/>
      <c r="AS90" s="86"/>
      <c r="AT90" s="86"/>
      <c r="AU90" s="86"/>
      <c r="AV90" s="86"/>
    </row>
    <row r="91" spans="1:48">
      <c r="A91" s="86"/>
      <c r="B91" s="86"/>
      <c r="C91" s="86"/>
      <c r="D91" s="86"/>
      <c r="E91" s="86"/>
      <c r="F91" s="86"/>
      <c r="G91" s="86"/>
      <c r="H91" s="86"/>
      <c r="I91" s="86"/>
      <c r="J91" s="86"/>
      <c r="K91" s="86"/>
      <c r="L91" s="86"/>
      <c r="M91" s="86"/>
      <c r="N91" s="86"/>
      <c r="O91" s="86"/>
      <c r="P91" s="86"/>
      <c r="Q91" s="86"/>
      <c r="R91" s="86"/>
      <c r="S91" s="86"/>
      <c r="T91" s="106"/>
      <c r="U91" s="86"/>
      <c r="V91" s="86"/>
      <c r="W91" s="86"/>
      <c r="X91" s="86"/>
      <c r="Y91" s="86"/>
      <c r="Z91" s="86"/>
      <c r="AA91" s="86"/>
      <c r="AB91" s="86"/>
      <c r="AC91" s="86"/>
      <c r="AD91" s="86"/>
      <c r="AE91" s="86"/>
      <c r="AF91" s="512"/>
      <c r="AG91" s="86"/>
      <c r="AH91" s="86"/>
      <c r="AI91" s="86"/>
      <c r="AJ91" s="86"/>
      <c r="AK91" s="86"/>
      <c r="AL91" s="86"/>
      <c r="AM91" s="86"/>
      <c r="AN91" s="86"/>
      <c r="AO91" s="86"/>
      <c r="AP91" s="86"/>
      <c r="AQ91" s="86"/>
      <c r="AR91" s="86"/>
      <c r="AS91" s="86"/>
      <c r="AT91" s="86"/>
      <c r="AU91" s="86"/>
      <c r="AV91" s="86"/>
    </row>
    <row r="92" spans="1:48">
      <c r="A92" s="86"/>
      <c r="B92" s="86"/>
      <c r="C92" s="86"/>
      <c r="D92" s="86"/>
      <c r="E92" s="86"/>
      <c r="F92" s="86"/>
      <c r="G92" s="86"/>
      <c r="H92" s="86"/>
      <c r="I92" s="86"/>
      <c r="J92" s="86"/>
      <c r="K92" s="86"/>
      <c r="L92" s="86"/>
      <c r="M92" s="86"/>
      <c r="N92" s="86"/>
      <c r="O92" s="86"/>
      <c r="P92" s="86"/>
      <c r="Q92" s="86"/>
      <c r="R92" s="86"/>
      <c r="S92" s="86"/>
      <c r="T92" s="106"/>
      <c r="U92" s="86"/>
      <c r="V92" s="86"/>
      <c r="W92" s="86"/>
      <c r="X92" s="86"/>
      <c r="Y92" s="86"/>
      <c r="Z92" s="86"/>
      <c r="AA92" s="86"/>
      <c r="AB92" s="86"/>
      <c r="AC92" s="86"/>
      <c r="AD92" s="86"/>
      <c r="AE92" s="86"/>
      <c r="AF92" s="512"/>
      <c r="AG92" s="86"/>
      <c r="AH92" s="86"/>
      <c r="AI92" s="86"/>
      <c r="AJ92" s="86"/>
      <c r="AK92" s="86"/>
      <c r="AL92" s="86"/>
      <c r="AM92" s="86"/>
      <c r="AN92" s="86"/>
      <c r="AO92" s="86"/>
      <c r="AP92" s="86"/>
      <c r="AQ92" s="86"/>
      <c r="AR92" s="86"/>
      <c r="AS92" s="86"/>
      <c r="AT92" s="86"/>
      <c r="AU92" s="86"/>
      <c r="AV92" s="86"/>
    </row>
    <row r="93" spans="1:48">
      <c r="A93" s="86"/>
      <c r="B93" s="86"/>
      <c r="C93" s="86"/>
      <c r="D93" s="86"/>
      <c r="E93" s="86"/>
      <c r="F93" s="86"/>
      <c r="G93" s="86"/>
      <c r="H93" s="86"/>
      <c r="I93" s="86"/>
      <c r="J93" s="86"/>
      <c r="K93" s="86"/>
      <c r="L93" s="86"/>
      <c r="M93" s="86"/>
      <c r="N93" s="86"/>
      <c r="O93" s="86"/>
      <c r="P93" s="86"/>
      <c r="Q93" s="86"/>
      <c r="R93" s="86"/>
      <c r="S93" s="86"/>
      <c r="T93" s="106"/>
      <c r="U93" s="86"/>
      <c r="V93" s="86"/>
      <c r="W93" s="86"/>
      <c r="X93" s="86"/>
      <c r="Y93" s="86"/>
      <c r="Z93" s="86"/>
      <c r="AA93" s="86"/>
      <c r="AB93" s="86"/>
      <c r="AC93" s="86"/>
      <c r="AD93" s="86"/>
      <c r="AE93" s="86"/>
      <c r="AF93" s="512"/>
      <c r="AG93" s="86"/>
      <c r="AH93" s="86"/>
      <c r="AI93" s="86"/>
      <c r="AJ93" s="86"/>
      <c r="AK93" s="86"/>
      <c r="AL93" s="86"/>
      <c r="AM93" s="86"/>
      <c r="AN93" s="86"/>
      <c r="AO93" s="86"/>
      <c r="AP93" s="86"/>
      <c r="AQ93" s="86"/>
      <c r="AR93" s="86"/>
      <c r="AS93" s="86"/>
      <c r="AT93" s="86"/>
      <c r="AU93" s="86"/>
      <c r="AV93" s="86"/>
    </row>
    <row r="94" spans="1:48">
      <c r="A94" s="86"/>
      <c r="B94" s="86"/>
      <c r="C94" s="86"/>
      <c r="D94" s="86"/>
      <c r="E94" s="86"/>
      <c r="F94" s="86"/>
      <c r="G94" s="86"/>
      <c r="H94" s="86"/>
      <c r="I94" s="86"/>
      <c r="J94" s="86"/>
      <c r="K94" s="86"/>
      <c r="L94" s="86"/>
      <c r="M94" s="86"/>
      <c r="N94" s="86"/>
      <c r="O94" s="86"/>
      <c r="P94" s="86"/>
      <c r="Q94" s="86"/>
      <c r="R94" s="86"/>
      <c r="S94" s="86"/>
      <c r="T94" s="106"/>
      <c r="U94" s="86"/>
      <c r="V94" s="86"/>
      <c r="W94" s="86"/>
      <c r="X94" s="86"/>
      <c r="Y94" s="86"/>
      <c r="Z94" s="86"/>
      <c r="AA94" s="86"/>
      <c r="AB94" s="86"/>
      <c r="AC94" s="86"/>
      <c r="AD94" s="86"/>
      <c r="AE94" s="86"/>
      <c r="AF94" s="512"/>
      <c r="AG94" s="86"/>
      <c r="AH94" s="86"/>
      <c r="AI94" s="86"/>
      <c r="AJ94" s="86"/>
      <c r="AK94" s="86"/>
      <c r="AL94" s="86"/>
      <c r="AM94" s="86"/>
      <c r="AN94" s="86"/>
      <c r="AO94" s="86"/>
      <c r="AP94" s="86"/>
      <c r="AQ94" s="86"/>
      <c r="AR94" s="86"/>
      <c r="AS94" s="86"/>
      <c r="AT94" s="86"/>
      <c r="AU94" s="86"/>
      <c r="AV94" s="86"/>
    </row>
    <row r="95" spans="1:48">
      <c r="A95" s="86"/>
      <c r="B95" s="86"/>
      <c r="C95" s="86"/>
      <c r="D95" s="86"/>
      <c r="E95" s="86"/>
      <c r="F95" s="86"/>
      <c r="G95" s="86"/>
      <c r="H95" s="86"/>
      <c r="I95" s="86"/>
      <c r="J95" s="86"/>
      <c r="K95" s="86"/>
      <c r="L95" s="86"/>
      <c r="M95" s="86"/>
      <c r="N95" s="86"/>
      <c r="O95" s="86"/>
      <c r="P95" s="86"/>
      <c r="Q95" s="86"/>
      <c r="R95" s="86"/>
      <c r="S95" s="86"/>
      <c r="T95" s="106"/>
      <c r="U95" s="86"/>
      <c r="V95" s="86"/>
      <c r="W95" s="86"/>
      <c r="X95" s="86"/>
      <c r="Y95" s="86"/>
      <c r="Z95" s="86"/>
      <c r="AA95" s="86"/>
      <c r="AB95" s="86"/>
      <c r="AC95" s="86"/>
      <c r="AD95" s="86"/>
      <c r="AE95" s="86"/>
      <c r="AF95" s="512"/>
      <c r="AG95" s="86"/>
      <c r="AH95" s="86"/>
      <c r="AI95" s="86"/>
      <c r="AJ95" s="86"/>
      <c r="AK95" s="86"/>
      <c r="AL95" s="86"/>
      <c r="AM95" s="86"/>
      <c r="AN95" s="86"/>
      <c r="AO95" s="86"/>
      <c r="AP95" s="86"/>
      <c r="AQ95" s="86"/>
      <c r="AR95" s="86"/>
      <c r="AS95" s="86"/>
      <c r="AT95" s="86"/>
      <c r="AU95" s="86"/>
      <c r="AV95" s="86"/>
    </row>
    <row r="96" spans="1:48">
      <c r="A96" s="86"/>
      <c r="B96" s="86"/>
      <c r="C96" s="86"/>
      <c r="D96" s="86"/>
      <c r="E96" s="86"/>
      <c r="F96" s="86"/>
      <c r="G96" s="86"/>
      <c r="H96" s="86"/>
      <c r="I96" s="86"/>
      <c r="J96" s="86"/>
      <c r="K96" s="86"/>
      <c r="L96" s="86"/>
      <c r="M96" s="86"/>
      <c r="N96" s="86"/>
      <c r="O96" s="86"/>
      <c r="P96" s="86"/>
      <c r="Q96" s="86"/>
      <c r="R96" s="86"/>
      <c r="S96" s="86"/>
      <c r="T96" s="106"/>
      <c r="U96" s="86"/>
      <c r="V96" s="86"/>
      <c r="W96" s="86"/>
      <c r="X96" s="86"/>
      <c r="Y96" s="86"/>
      <c r="Z96" s="86"/>
      <c r="AA96" s="86"/>
      <c r="AB96" s="86"/>
      <c r="AC96" s="86"/>
      <c r="AD96" s="86"/>
      <c r="AE96" s="86"/>
      <c r="AF96" s="512"/>
      <c r="AG96" s="86"/>
      <c r="AH96" s="86"/>
      <c r="AI96" s="86"/>
      <c r="AJ96" s="86"/>
      <c r="AK96" s="86"/>
      <c r="AL96" s="86"/>
      <c r="AM96" s="86"/>
      <c r="AN96" s="86"/>
      <c r="AO96" s="86"/>
      <c r="AP96" s="86"/>
      <c r="AQ96" s="86"/>
      <c r="AR96" s="86"/>
      <c r="AS96" s="86"/>
      <c r="AT96" s="86"/>
      <c r="AU96" s="86"/>
      <c r="AV96" s="86"/>
    </row>
    <row r="97" spans="1:48">
      <c r="A97" s="86"/>
      <c r="B97" s="86"/>
      <c r="C97" s="86"/>
      <c r="D97" s="86"/>
      <c r="E97" s="86"/>
      <c r="F97" s="86"/>
      <c r="G97" s="86"/>
      <c r="H97" s="86"/>
      <c r="I97" s="86"/>
      <c r="J97" s="86"/>
      <c r="K97" s="86"/>
      <c r="L97" s="86"/>
      <c r="M97" s="86"/>
      <c r="N97" s="86"/>
      <c r="O97" s="86"/>
      <c r="P97" s="86"/>
      <c r="Q97" s="86"/>
      <c r="R97" s="86"/>
      <c r="S97" s="86"/>
      <c r="T97" s="106"/>
      <c r="U97" s="86"/>
      <c r="V97" s="86"/>
      <c r="W97" s="86"/>
      <c r="X97" s="86"/>
      <c r="Y97" s="86"/>
      <c r="Z97" s="86"/>
      <c r="AA97" s="86"/>
      <c r="AB97" s="86"/>
      <c r="AC97" s="86"/>
      <c r="AD97" s="86"/>
      <c r="AE97" s="86"/>
      <c r="AF97" s="512"/>
      <c r="AG97" s="86"/>
      <c r="AH97" s="86"/>
      <c r="AI97" s="86"/>
      <c r="AJ97" s="86"/>
      <c r="AK97" s="86"/>
      <c r="AL97" s="86"/>
      <c r="AM97" s="86"/>
      <c r="AN97" s="86"/>
      <c r="AO97" s="86"/>
      <c r="AP97" s="86"/>
      <c r="AQ97" s="86"/>
      <c r="AR97" s="86"/>
      <c r="AS97" s="86"/>
      <c r="AT97" s="86"/>
      <c r="AU97" s="86"/>
      <c r="AV97" s="86"/>
    </row>
    <row r="98" spans="1:48">
      <c r="A98" s="86"/>
      <c r="B98" s="86"/>
      <c r="C98" s="86"/>
      <c r="D98" s="86"/>
      <c r="E98" s="86"/>
      <c r="F98" s="86"/>
      <c r="G98" s="86"/>
      <c r="H98" s="86"/>
      <c r="I98" s="86"/>
      <c r="J98" s="86"/>
      <c r="K98" s="86"/>
      <c r="L98" s="86"/>
      <c r="M98" s="86"/>
      <c r="N98" s="86"/>
      <c r="O98" s="86"/>
      <c r="P98" s="86"/>
      <c r="Q98" s="86"/>
      <c r="R98" s="86"/>
      <c r="S98" s="86"/>
      <c r="T98" s="106"/>
      <c r="U98" s="86"/>
      <c r="V98" s="86"/>
      <c r="W98" s="86"/>
      <c r="X98" s="86"/>
      <c r="Y98" s="86"/>
      <c r="Z98" s="86"/>
      <c r="AA98" s="86"/>
      <c r="AB98" s="86"/>
      <c r="AC98" s="86"/>
      <c r="AD98" s="86"/>
      <c r="AE98" s="86"/>
      <c r="AF98" s="512"/>
      <c r="AG98" s="86"/>
      <c r="AH98" s="86"/>
      <c r="AI98" s="86"/>
      <c r="AJ98" s="86"/>
      <c r="AK98" s="86"/>
      <c r="AL98" s="86"/>
      <c r="AM98" s="86"/>
      <c r="AN98" s="86"/>
      <c r="AO98" s="86"/>
      <c r="AP98" s="86"/>
      <c r="AQ98" s="86"/>
      <c r="AR98" s="86"/>
      <c r="AS98" s="86"/>
      <c r="AT98" s="86"/>
      <c r="AU98" s="86"/>
      <c r="AV98" s="86"/>
    </row>
    <row r="99" spans="1:48">
      <c r="A99" s="86"/>
      <c r="B99" s="86"/>
      <c r="C99" s="86"/>
      <c r="D99" s="86"/>
      <c r="E99" s="86"/>
      <c r="F99" s="86"/>
      <c r="G99" s="86"/>
      <c r="H99" s="86"/>
      <c r="I99" s="86"/>
      <c r="J99" s="86"/>
      <c r="K99" s="86"/>
      <c r="L99" s="86"/>
      <c r="M99" s="86"/>
      <c r="N99" s="86"/>
      <c r="O99" s="86"/>
      <c r="P99" s="86"/>
      <c r="Q99" s="86"/>
      <c r="R99" s="86"/>
      <c r="S99" s="86"/>
      <c r="T99" s="106"/>
      <c r="U99" s="86"/>
      <c r="V99" s="86"/>
      <c r="W99" s="86"/>
      <c r="X99" s="86"/>
      <c r="Y99" s="86"/>
      <c r="Z99" s="86"/>
      <c r="AA99" s="86"/>
      <c r="AB99" s="86"/>
      <c r="AC99" s="86"/>
      <c r="AD99" s="86"/>
      <c r="AE99" s="86"/>
      <c r="AF99" s="512"/>
      <c r="AG99" s="86"/>
      <c r="AH99" s="86"/>
      <c r="AI99" s="86"/>
      <c r="AJ99" s="86"/>
      <c r="AK99" s="86"/>
      <c r="AL99" s="86"/>
      <c r="AM99" s="86"/>
      <c r="AN99" s="86"/>
      <c r="AO99" s="86"/>
      <c r="AP99" s="86"/>
      <c r="AQ99" s="86"/>
      <c r="AR99" s="86"/>
      <c r="AS99" s="86"/>
      <c r="AT99" s="86"/>
      <c r="AU99" s="86"/>
      <c r="AV99" s="86"/>
    </row>
    <row r="100" spans="1:48">
      <c r="A100" s="86"/>
      <c r="B100" s="86"/>
      <c r="C100" s="86"/>
      <c r="D100" s="86"/>
      <c r="E100" s="86"/>
      <c r="F100" s="86"/>
      <c r="G100" s="86"/>
      <c r="H100" s="86"/>
      <c r="I100" s="86"/>
      <c r="J100" s="86"/>
      <c r="K100" s="86"/>
      <c r="L100" s="86"/>
      <c r="M100" s="86"/>
      <c r="N100" s="86"/>
      <c r="O100" s="86"/>
      <c r="P100" s="86"/>
      <c r="Q100" s="86"/>
      <c r="R100" s="86"/>
      <c r="S100" s="86"/>
      <c r="T100" s="106"/>
      <c r="U100" s="86"/>
      <c r="V100" s="86"/>
      <c r="W100" s="86"/>
      <c r="X100" s="86"/>
      <c r="Y100" s="86"/>
      <c r="Z100" s="86"/>
      <c r="AA100" s="86"/>
      <c r="AB100" s="86"/>
      <c r="AC100" s="86"/>
      <c r="AD100" s="86"/>
      <c r="AE100" s="86"/>
      <c r="AF100" s="512"/>
      <c r="AG100" s="86"/>
      <c r="AH100" s="86"/>
      <c r="AI100" s="86"/>
      <c r="AJ100" s="86"/>
      <c r="AK100" s="86"/>
      <c r="AL100" s="86"/>
      <c r="AM100" s="86"/>
      <c r="AN100" s="86"/>
      <c r="AO100" s="86"/>
      <c r="AP100" s="86"/>
      <c r="AQ100" s="86"/>
      <c r="AR100" s="86"/>
      <c r="AS100" s="86"/>
      <c r="AT100" s="86"/>
      <c r="AU100" s="86"/>
      <c r="AV100" s="86"/>
    </row>
    <row r="101" spans="1:48">
      <c r="A101" s="86"/>
      <c r="B101" s="86"/>
      <c r="C101" s="86"/>
      <c r="D101" s="86"/>
      <c r="E101" s="86"/>
      <c r="F101" s="86"/>
      <c r="G101" s="86"/>
      <c r="H101" s="86"/>
      <c r="I101" s="86"/>
      <c r="J101" s="86"/>
      <c r="K101" s="86"/>
      <c r="L101" s="86"/>
      <c r="M101" s="86"/>
      <c r="N101" s="86"/>
      <c r="O101" s="86"/>
      <c r="P101" s="86"/>
      <c r="Q101" s="86"/>
      <c r="R101" s="86"/>
      <c r="S101" s="86"/>
      <c r="T101" s="106"/>
      <c r="U101" s="86"/>
      <c r="V101" s="86"/>
      <c r="W101" s="86"/>
      <c r="X101" s="86"/>
      <c r="Y101" s="86"/>
      <c r="Z101" s="86"/>
      <c r="AA101" s="86"/>
      <c r="AB101" s="86"/>
      <c r="AC101" s="86"/>
      <c r="AD101" s="86"/>
      <c r="AE101" s="86"/>
      <c r="AF101" s="512"/>
      <c r="AG101" s="86"/>
      <c r="AH101" s="86"/>
      <c r="AI101" s="86"/>
      <c r="AJ101" s="86"/>
      <c r="AK101" s="86"/>
      <c r="AL101" s="86"/>
      <c r="AM101" s="86"/>
      <c r="AN101" s="86"/>
      <c r="AO101" s="86"/>
      <c r="AP101" s="86"/>
      <c r="AQ101" s="86"/>
      <c r="AR101" s="86"/>
      <c r="AS101" s="86"/>
      <c r="AT101" s="86"/>
      <c r="AU101" s="86"/>
      <c r="AV101" s="86"/>
    </row>
    <row r="102" spans="1:48">
      <c r="A102" s="86"/>
      <c r="B102" s="86"/>
      <c r="C102" s="86"/>
      <c r="D102" s="86"/>
      <c r="E102" s="86"/>
      <c r="F102" s="86"/>
      <c r="G102" s="86"/>
      <c r="H102" s="86"/>
      <c r="I102" s="86"/>
      <c r="J102" s="86"/>
      <c r="K102" s="86"/>
      <c r="L102" s="86"/>
      <c r="M102" s="86"/>
      <c r="N102" s="86"/>
      <c r="O102" s="86"/>
      <c r="P102" s="86"/>
      <c r="Q102" s="86"/>
      <c r="R102" s="86"/>
      <c r="S102" s="86"/>
      <c r="T102" s="106"/>
      <c r="U102" s="86"/>
      <c r="V102" s="86"/>
      <c r="W102" s="86"/>
      <c r="X102" s="86"/>
      <c r="Y102" s="86"/>
      <c r="Z102" s="86"/>
      <c r="AA102" s="86"/>
      <c r="AB102" s="86"/>
      <c r="AC102" s="86"/>
      <c r="AD102" s="86"/>
      <c r="AE102" s="86"/>
      <c r="AF102" s="512"/>
      <c r="AG102" s="86"/>
      <c r="AH102" s="86"/>
      <c r="AI102" s="86"/>
      <c r="AJ102" s="86"/>
      <c r="AK102" s="86"/>
      <c r="AL102" s="86"/>
      <c r="AM102" s="86"/>
      <c r="AN102" s="86"/>
      <c r="AO102" s="86"/>
      <c r="AP102" s="86"/>
      <c r="AQ102" s="86"/>
      <c r="AR102" s="86"/>
      <c r="AS102" s="86"/>
      <c r="AT102" s="86"/>
      <c r="AU102" s="86"/>
      <c r="AV102" s="86"/>
    </row>
    <row r="103" spans="1:48">
      <c r="A103" s="86"/>
      <c r="B103" s="86"/>
      <c r="C103" s="86"/>
      <c r="D103" s="86"/>
      <c r="E103" s="86"/>
      <c r="F103" s="86"/>
      <c r="G103" s="86"/>
      <c r="H103" s="86"/>
      <c r="I103" s="86"/>
      <c r="J103" s="86"/>
      <c r="K103" s="86"/>
      <c r="L103" s="86"/>
      <c r="M103" s="86"/>
      <c r="N103" s="86"/>
      <c r="O103" s="86"/>
      <c r="P103" s="86"/>
      <c r="Q103" s="86"/>
      <c r="R103" s="86"/>
      <c r="S103" s="86"/>
      <c r="T103" s="106"/>
      <c r="U103" s="86"/>
      <c r="V103" s="86"/>
      <c r="W103" s="86"/>
      <c r="X103" s="86"/>
      <c r="Y103" s="86"/>
      <c r="Z103" s="86"/>
      <c r="AA103" s="86"/>
      <c r="AB103" s="86"/>
      <c r="AC103" s="86"/>
      <c r="AD103" s="86"/>
      <c r="AE103" s="86"/>
      <c r="AF103" s="512"/>
      <c r="AG103" s="86"/>
      <c r="AH103" s="86"/>
      <c r="AI103" s="86"/>
      <c r="AJ103" s="86"/>
      <c r="AK103" s="86"/>
      <c r="AL103" s="86"/>
      <c r="AM103" s="86"/>
      <c r="AN103" s="86"/>
      <c r="AO103" s="86"/>
      <c r="AP103" s="86"/>
      <c r="AQ103" s="86"/>
      <c r="AR103" s="86"/>
      <c r="AS103" s="86"/>
      <c r="AT103" s="86"/>
      <c r="AU103" s="86"/>
      <c r="AV103" s="86"/>
    </row>
    <row r="104" spans="1:48">
      <c r="A104" s="86"/>
      <c r="B104" s="86"/>
      <c r="C104" s="86"/>
      <c r="D104" s="86"/>
      <c r="E104" s="86"/>
      <c r="F104" s="86"/>
      <c r="G104" s="86"/>
      <c r="H104" s="86"/>
      <c r="I104" s="86"/>
      <c r="J104" s="86"/>
      <c r="K104" s="86"/>
      <c r="L104" s="86"/>
      <c r="M104" s="86"/>
      <c r="N104" s="86"/>
      <c r="O104" s="86"/>
      <c r="P104" s="86"/>
      <c r="Q104" s="86"/>
      <c r="R104" s="86"/>
      <c r="S104" s="86"/>
      <c r="T104" s="106"/>
      <c r="U104" s="86"/>
      <c r="V104" s="86"/>
      <c r="W104" s="86"/>
      <c r="X104" s="86"/>
      <c r="Y104" s="86"/>
      <c r="Z104" s="86"/>
      <c r="AA104" s="86"/>
      <c r="AB104" s="86"/>
      <c r="AC104" s="86"/>
      <c r="AD104" s="86"/>
      <c r="AE104" s="86"/>
      <c r="AF104" s="512"/>
      <c r="AG104" s="86"/>
      <c r="AH104" s="86"/>
      <c r="AI104" s="86"/>
      <c r="AJ104" s="86"/>
      <c r="AK104" s="86"/>
      <c r="AL104" s="86"/>
      <c r="AM104" s="86"/>
      <c r="AN104" s="86"/>
      <c r="AO104" s="86"/>
      <c r="AP104" s="86"/>
      <c r="AQ104" s="86"/>
      <c r="AR104" s="86"/>
      <c r="AS104" s="86"/>
      <c r="AT104" s="86"/>
      <c r="AU104" s="86"/>
      <c r="AV104" s="86"/>
    </row>
    <row r="105" spans="1:48">
      <c r="A105" s="86"/>
      <c r="B105" s="86"/>
      <c r="C105" s="86"/>
      <c r="D105" s="86"/>
      <c r="E105" s="86"/>
      <c r="F105" s="86"/>
      <c r="G105" s="86"/>
      <c r="H105" s="86"/>
      <c r="I105" s="86"/>
      <c r="J105" s="86"/>
      <c r="K105" s="86"/>
      <c r="L105" s="86"/>
      <c r="M105" s="86"/>
      <c r="N105" s="86"/>
      <c r="O105" s="86"/>
      <c r="P105" s="86"/>
      <c r="Q105" s="86"/>
      <c r="R105" s="86"/>
      <c r="S105" s="86"/>
      <c r="T105" s="106"/>
      <c r="U105" s="86"/>
      <c r="V105" s="86"/>
      <c r="W105" s="86"/>
      <c r="X105" s="86"/>
      <c r="Y105" s="86"/>
      <c r="Z105" s="86"/>
      <c r="AA105" s="86"/>
      <c r="AB105" s="86"/>
      <c r="AC105" s="86"/>
      <c r="AD105" s="86"/>
      <c r="AE105" s="86"/>
      <c r="AF105" s="512"/>
      <c r="AG105" s="86"/>
      <c r="AH105" s="86"/>
      <c r="AI105" s="86"/>
      <c r="AJ105" s="86"/>
      <c r="AK105" s="86"/>
      <c r="AL105" s="86"/>
      <c r="AM105" s="86"/>
      <c r="AN105" s="86"/>
      <c r="AO105" s="86"/>
      <c r="AP105" s="86"/>
      <c r="AQ105" s="86"/>
      <c r="AR105" s="86"/>
      <c r="AS105" s="86"/>
      <c r="AT105" s="86"/>
      <c r="AU105" s="86"/>
      <c r="AV105" s="86"/>
    </row>
    <row r="106" spans="1:48">
      <c r="A106" s="86"/>
      <c r="B106" s="86"/>
      <c r="C106" s="86"/>
      <c r="D106" s="86"/>
      <c r="E106" s="86"/>
      <c r="F106" s="86"/>
      <c r="G106" s="86"/>
      <c r="H106" s="86"/>
      <c r="I106" s="86"/>
      <c r="J106" s="86"/>
      <c r="K106" s="86"/>
      <c r="L106" s="86"/>
      <c r="M106" s="86"/>
      <c r="N106" s="86"/>
      <c r="O106" s="86"/>
      <c r="P106" s="86"/>
      <c r="Q106" s="86"/>
      <c r="R106" s="86"/>
      <c r="S106" s="86"/>
      <c r="T106" s="106"/>
      <c r="U106" s="86"/>
      <c r="V106" s="86"/>
      <c r="W106" s="86"/>
      <c r="X106" s="86"/>
      <c r="Y106" s="86"/>
      <c r="Z106" s="86"/>
      <c r="AA106" s="86"/>
      <c r="AB106" s="86"/>
      <c r="AC106" s="86"/>
      <c r="AD106" s="86"/>
      <c r="AE106" s="86"/>
      <c r="AF106" s="512"/>
      <c r="AG106" s="86"/>
      <c r="AH106" s="86"/>
      <c r="AI106" s="86"/>
      <c r="AJ106" s="86"/>
      <c r="AK106" s="86"/>
      <c r="AL106" s="86"/>
      <c r="AM106" s="86"/>
      <c r="AN106" s="86"/>
      <c r="AO106" s="86"/>
      <c r="AP106" s="86"/>
      <c r="AQ106" s="86"/>
      <c r="AR106" s="86"/>
      <c r="AS106" s="86"/>
      <c r="AT106" s="86"/>
      <c r="AU106" s="86"/>
      <c r="AV106" s="86"/>
    </row>
    <row r="107" spans="1:48">
      <c r="A107" s="86"/>
      <c r="B107" s="86"/>
      <c r="C107" s="86"/>
      <c r="D107" s="86"/>
      <c r="E107" s="86"/>
      <c r="F107" s="86"/>
      <c r="G107" s="86"/>
      <c r="H107" s="86"/>
      <c r="I107" s="86"/>
      <c r="J107" s="86"/>
      <c r="K107" s="86"/>
      <c r="L107" s="86"/>
      <c r="M107" s="86"/>
      <c r="N107" s="86"/>
      <c r="O107" s="86"/>
      <c r="P107" s="86"/>
      <c r="Q107" s="86"/>
      <c r="R107" s="86"/>
      <c r="S107" s="86"/>
      <c r="T107" s="106"/>
      <c r="U107" s="86"/>
      <c r="V107" s="86"/>
      <c r="W107" s="86"/>
      <c r="X107" s="86"/>
      <c r="Y107" s="86"/>
      <c r="Z107" s="86"/>
      <c r="AA107" s="86"/>
      <c r="AB107" s="86"/>
      <c r="AC107" s="86"/>
      <c r="AD107" s="86"/>
      <c r="AE107" s="86"/>
      <c r="AF107" s="512"/>
      <c r="AG107" s="86"/>
      <c r="AH107" s="86"/>
      <c r="AI107" s="86"/>
      <c r="AJ107" s="86"/>
      <c r="AK107" s="86"/>
      <c r="AL107" s="86"/>
      <c r="AM107" s="86"/>
      <c r="AN107" s="86"/>
      <c r="AO107" s="86"/>
      <c r="AP107" s="86"/>
      <c r="AQ107" s="86"/>
      <c r="AR107" s="86"/>
      <c r="AS107" s="86"/>
      <c r="AT107" s="86"/>
      <c r="AU107" s="86"/>
      <c r="AV107" s="86"/>
    </row>
    <row r="108" spans="1:48">
      <c r="A108" s="86"/>
      <c r="B108" s="86"/>
      <c r="C108" s="86"/>
      <c r="D108" s="86"/>
      <c r="E108" s="86"/>
      <c r="F108" s="86"/>
      <c r="G108" s="86"/>
      <c r="H108" s="86"/>
      <c r="I108" s="86"/>
      <c r="J108" s="86"/>
      <c r="K108" s="86"/>
      <c r="L108" s="86"/>
      <c r="M108" s="86"/>
      <c r="N108" s="86"/>
      <c r="O108" s="86"/>
      <c r="P108" s="86"/>
      <c r="Q108" s="86"/>
      <c r="R108" s="86"/>
      <c r="S108" s="86"/>
      <c r="T108" s="106"/>
      <c r="U108" s="86"/>
      <c r="V108" s="86"/>
      <c r="W108" s="86"/>
      <c r="X108" s="86"/>
      <c r="Y108" s="86"/>
      <c r="Z108" s="86"/>
      <c r="AA108" s="86"/>
      <c r="AB108" s="86"/>
      <c r="AC108" s="86"/>
      <c r="AD108" s="86"/>
      <c r="AE108" s="86"/>
      <c r="AF108" s="512"/>
      <c r="AG108" s="86"/>
      <c r="AH108" s="86"/>
      <c r="AI108" s="86"/>
      <c r="AJ108" s="86"/>
      <c r="AK108" s="86"/>
      <c r="AL108" s="86"/>
      <c r="AM108" s="86"/>
      <c r="AN108" s="86"/>
      <c r="AO108" s="86"/>
      <c r="AP108" s="86"/>
      <c r="AQ108" s="86"/>
      <c r="AR108" s="86"/>
      <c r="AS108" s="86"/>
      <c r="AT108" s="86"/>
      <c r="AU108" s="86"/>
      <c r="AV108" s="86"/>
    </row>
    <row r="109" spans="1:48">
      <c r="A109" s="86"/>
      <c r="B109" s="86"/>
      <c r="C109" s="86"/>
      <c r="D109" s="86"/>
      <c r="E109" s="86"/>
      <c r="F109" s="86"/>
      <c r="G109" s="86"/>
      <c r="H109" s="86"/>
      <c r="I109" s="86"/>
      <c r="J109" s="86"/>
      <c r="K109" s="86"/>
      <c r="L109" s="86"/>
      <c r="M109" s="86"/>
      <c r="N109" s="86"/>
      <c r="O109" s="86"/>
      <c r="P109" s="86"/>
      <c r="Q109" s="86"/>
      <c r="R109" s="86"/>
      <c r="S109" s="86"/>
      <c r="T109" s="106"/>
      <c r="U109" s="86"/>
      <c r="V109" s="86"/>
      <c r="W109" s="86"/>
      <c r="X109" s="86"/>
      <c r="Y109" s="86"/>
      <c r="Z109" s="86"/>
      <c r="AA109" s="86"/>
      <c r="AB109" s="86"/>
      <c r="AC109" s="86"/>
      <c r="AD109" s="86"/>
      <c r="AE109" s="86"/>
      <c r="AF109" s="512"/>
      <c r="AG109" s="86"/>
      <c r="AH109" s="86"/>
      <c r="AI109" s="86"/>
      <c r="AJ109" s="86"/>
      <c r="AK109" s="86"/>
      <c r="AL109" s="86"/>
      <c r="AM109" s="86"/>
      <c r="AN109" s="86"/>
      <c r="AO109" s="86"/>
      <c r="AP109" s="86"/>
      <c r="AQ109" s="86"/>
      <c r="AR109" s="86"/>
      <c r="AS109" s="86"/>
      <c r="AT109" s="86"/>
      <c r="AU109" s="86"/>
      <c r="AV109" s="86"/>
    </row>
    <row r="110" spans="1:48">
      <c r="A110" s="86"/>
      <c r="B110" s="86"/>
      <c r="C110" s="86"/>
      <c r="D110" s="86"/>
      <c r="E110" s="86"/>
      <c r="F110" s="86"/>
      <c r="G110" s="86"/>
      <c r="H110" s="86"/>
      <c r="I110" s="86"/>
      <c r="J110" s="86"/>
      <c r="K110" s="86"/>
      <c r="L110" s="86"/>
      <c r="M110" s="86"/>
      <c r="N110" s="86"/>
      <c r="O110" s="86"/>
      <c r="P110" s="86"/>
      <c r="Q110" s="86"/>
      <c r="R110" s="86"/>
      <c r="S110" s="86"/>
      <c r="T110" s="106"/>
      <c r="U110" s="86"/>
      <c r="V110" s="86"/>
      <c r="W110" s="86"/>
      <c r="X110" s="86"/>
      <c r="Y110" s="86"/>
      <c r="Z110" s="86"/>
      <c r="AA110" s="86"/>
      <c r="AB110" s="86"/>
      <c r="AC110" s="86"/>
      <c r="AD110" s="86"/>
      <c r="AE110" s="86"/>
      <c r="AF110" s="512"/>
      <c r="AG110" s="86"/>
      <c r="AH110" s="86"/>
      <c r="AI110" s="86"/>
      <c r="AJ110" s="86"/>
      <c r="AK110" s="86"/>
      <c r="AL110" s="86"/>
      <c r="AM110" s="86"/>
      <c r="AN110" s="86"/>
      <c r="AO110" s="86"/>
      <c r="AP110" s="86"/>
      <c r="AQ110" s="86"/>
      <c r="AR110" s="86"/>
      <c r="AS110" s="86"/>
      <c r="AT110" s="86"/>
      <c r="AU110" s="86"/>
      <c r="AV110" s="86"/>
    </row>
    <row r="111" spans="1:48">
      <c r="A111" s="86"/>
      <c r="B111" s="86"/>
      <c r="C111" s="86"/>
      <c r="D111" s="86"/>
      <c r="E111" s="86"/>
      <c r="F111" s="86"/>
      <c r="G111" s="86"/>
      <c r="H111" s="86"/>
      <c r="I111" s="86"/>
      <c r="J111" s="86"/>
      <c r="K111" s="86"/>
      <c r="L111" s="86"/>
      <c r="M111" s="86"/>
      <c r="N111" s="86"/>
      <c r="O111" s="86"/>
      <c r="P111" s="86"/>
      <c r="Q111" s="86"/>
      <c r="R111" s="86"/>
      <c r="S111" s="86"/>
      <c r="T111" s="106"/>
      <c r="U111" s="86"/>
      <c r="V111" s="86"/>
      <c r="W111" s="86"/>
      <c r="X111" s="86"/>
      <c r="Y111" s="86"/>
      <c r="Z111" s="86"/>
      <c r="AA111" s="86"/>
      <c r="AB111" s="86"/>
      <c r="AC111" s="86"/>
      <c r="AD111" s="86"/>
      <c r="AE111" s="86"/>
      <c r="AF111" s="512"/>
      <c r="AG111" s="86"/>
      <c r="AH111" s="86"/>
      <c r="AI111" s="86"/>
      <c r="AJ111" s="86"/>
      <c r="AK111" s="86"/>
      <c r="AL111" s="86"/>
      <c r="AM111" s="86"/>
      <c r="AN111" s="86"/>
      <c r="AO111" s="86"/>
      <c r="AP111" s="86"/>
      <c r="AQ111" s="86"/>
      <c r="AR111" s="86"/>
      <c r="AS111" s="86"/>
      <c r="AT111" s="86"/>
      <c r="AU111" s="86"/>
      <c r="AV111" s="86"/>
    </row>
    <row r="112" spans="1:48">
      <c r="A112" s="86"/>
      <c r="B112" s="86"/>
      <c r="C112" s="86"/>
      <c r="D112" s="86"/>
      <c r="E112" s="86"/>
      <c r="F112" s="86"/>
      <c r="G112" s="86"/>
      <c r="H112" s="86"/>
      <c r="I112" s="86"/>
      <c r="J112" s="86"/>
      <c r="K112" s="86"/>
      <c r="L112" s="86"/>
      <c r="M112" s="86"/>
      <c r="N112" s="86"/>
      <c r="O112" s="86"/>
      <c r="P112" s="86"/>
      <c r="Q112" s="86"/>
      <c r="R112" s="86"/>
      <c r="S112" s="86"/>
      <c r="T112" s="106"/>
      <c r="U112" s="86"/>
      <c r="V112" s="86"/>
      <c r="W112" s="86"/>
      <c r="X112" s="86"/>
      <c r="Y112" s="86"/>
      <c r="Z112" s="86"/>
      <c r="AA112" s="86"/>
      <c r="AB112" s="86"/>
      <c r="AC112" s="86"/>
      <c r="AD112" s="86"/>
      <c r="AE112" s="86"/>
      <c r="AF112" s="512"/>
      <c r="AG112" s="86"/>
      <c r="AH112" s="86"/>
      <c r="AI112" s="86"/>
      <c r="AJ112" s="86"/>
      <c r="AK112" s="86"/>
      <c r="AL112" s="86"/>
      <c r="AM112" s="86"/>
      <c r="AN112" s="86"/>
      <c r="AO112" s="86"/>
      <c r="AP112" s="86"/>
      <c r="AQ112" s="86"/>
      <c r="AR112" s="86"/>
      <c r="AS112" s="86"/>
      <c r="AT112" s="86"/>
      <c r="AU112" s="86"/>
      <c r="AV112" s="86"/>
    </row>
    <row r="113" spans="1:48">
      <c r="A113" s="86"/>
      <c r="B113" s="86"/>
      <c r="C113" s="86"/>
      <c r="D113" s="86"/>
      <c r="E113" s="86"/>
      <c r="F113" s="86"/>
      <c r="G113" s="86"/>
      <c r="H113" s="86"/>
      <c r="I113" s="86"/>
      <c r="J113" s="86"/>
      <c r="K113" s="86"/>
      <c r="L113" s="86"/>
      <c r="M113" s="86"/>
      <c r="N113" s="86"/>
      <c r="O113" s="86"/>
      <c r="P113" s="86"/>
      <c r="Q113" s="86"/>
      <c r="R113" s="86"/>
      <c r="S113" s="86"/>
      <c r="T113" s="106"/>
      <c r="U113" s="86"/>
      <c r="V113" s="86"/>
      <c r="W113" s="86"/>
      <c r="X113" s="86"/>
      <c r="Y113" s="86"/>
      <c r="Z113" s="86"/>
      <c r="AA113" s="86"/>
      <c r="AB113" s="86"/>
      <c r="AC113" s="86"/>
      <c r="AD113" s="86"/>
      <c r="AE113" s="86"/>
      <c r="AF113" s="512"/>
      <c r="AG113" s="86"/>
      <c r="AH113" s="86"/>
      <c r="AI113" s="86"/>
      <c r="AJ113" s="86"/>
      <c r="AK113" s="86"/>
      <c r="AL113" s="86"/>
      <c r="AM113" s="86"/>
      <c r="AN113" s="86"/>
      <c r="AO113" s="86"/>
      <c r="AP113" s="86"/>
      <c r="AQ113" s="86"/>
      <c r="AR113" s="86"/>
      <c r="AS113" s="86"/>
      <c r="AT113" s="86"/>
      <c r="AU113" s="86"/>
      <c r="AV113" s="86"/>
    </row>
    <row r="114" spans="1:48">
      <c r="A114" s="86"/>
      <c r="B114" s="86"/>
      <c r="C114" s="86"/>
      <c r="D114" s="86"/>
      <c r="E114" s="86"/>
      <c r="F114" s="86"/>
      <c r="G114" s="86"/>
      <c r="H114" s="86"/>
      <c r="I114" s="86"/>
      <c r="J114" s="86"/>
      <c r="K114" s="86"/>
      <c r="L114" s="86"/>
      <c r="M114" s="86"/>
      <c r="N114" s="86"/>
      <c r="O114" s="86"/>
      <c r="P114" s="86"/>
      <c r="Q114" s="86"/>
      <c r="R114" s="86"/>
      <c r="S114" s="86"/>
      <c r="T114" s="106"/>
      <c r="U114" s="86"/>
      <c r="V114" s="86"/>
      <c r="W114" s="86"/>
      <c r="X114" s="86"/>
      <c r="Y114" s="86"/>
      <c r="Z114" s="86"/>
      <c r="AA114" s="86"/>
      <c r="AB114" s="86"/>
      <c r="AC114" s="86"/>
      <c r="AD114" s="86"/>
      <c r="AE114" s="86"/>
      <c r="AF114" s="512"/>
      <c r="AG114" s="86"/>
      <c r="AH114" s="86"/>
      <c r="AI114" s="86"/>
      <c r="AJ114" s="86"/>
      <c r="AK114" s="86"/>
      <c r="AL114" s="86"/>
      <c r="AM114" s="86"/>
      <c r="AN114" s="86"/>
      <c r="AO114" s="86"/>
      <c r="AP114" s="86"/>
      <c r="AQ114" s="86"/>
      <c r="AR114" s="86"/>
      <c r="AS114" s="86"/>
      <c r="AT114" s="86"/>
      <c r="AU114" s="86"/>
      <c r="AV114" s="86"/>
    </row>
    <row r="115" spans="1:48">
      <c r="A115" s="86"/>
      <c r="B115" s="86"/>
      <c r="C115" s="86"/>
      <c r="D115" s="86"/>
      <c r="E115" s="86"/>
      <c r="F115" s="86"/>
      <c r="G115" s="86"/>
      <c r="H115" s="86"/>
      <c r="I115" s="86"/>
      <c r="J115" s="86"/>
      <c r="K115" s="86"/>
      <c r="L115" s="86"/>
      <c r="M115" s="86"/>
      <c r="N115" s="86"/>
      <c r="O115" s="86"/>
      <c r="P115" s="86"/>
      <c r="Q115" s="86"/>
      <c r="R115" s="86"/>
      <c r="S115" s="86"/>
      <c r="T115" s="106"/>
      <c r="U115" s="86"/>
      <c r="V115" s="86"/>
      <c r="W115" s="86"/>
      <c r="X115" s="86"/>
      <c r="Y115" s="86"/>
      <c r="Z115" s="86"/>
      <c r="AA115" s="86"/>
      <c r="AB115" s="86"/>
      <c r="AC115" s="86"/>
      <c r="AD115" s="86"/>
      <c r="AE115" s="86"/>
      <c r="AF115" s="512"/>
      <c r="AG115" s="86"/>
      <c r="AH115" s="86"/>
      <c r="AI115" s="86"/>
      <c r="AJ115" s="86"/>
      <c r="AK115" s="86"/>
      <c r="AL115" s="86"/>
      <c r="AM115" s="86"/>
      <c r="AN115" s="86"/>
      <c r="AO115" s="86"/>
      <c r="AP115" s="86"/>
      <c r="AQ115" s="86"/>
      <c r="AR115" s="86"/>
      <c r="AS115" s="86"/>
      <c r="AT115" s="86"/>
      <c r="AU115" s="86"/>
      <c r="AV115" s="86"/>
    </row>
    <row r="116" spans="1:48">
      <c r="A116" s="86"/>
      <c r="B116" s="86"/>
      <c r="C116" s="86"/>
      <c r="D116" s="86"/>
      <c r="E116" s="86"/>
      <c r="F116" s="86"/>
      <c r="G116" s="86"/>
      <c r="H116" s="86"/>
      <c r="I116" s="86"/>
      <c r="J116" s="86"/>
      <c r="K116" s="86"/>
      <c r="L116" s="86"/>
      <c r="M116" s="86"/>
      <c r="N116" s="86"/>
      <c r="O116" s="86"/>
      <c r="P116" s="86"/>
      <c r="Q116" s="86"/>
      <c r="R116" s="86"/>
      <c r="S116" s="86"/>
      <c r="T116" s="106"/>
      <c r="U116" s="86"/>
      <c r="V116" s="86"/>
      <c r="W116" s="86"/>
      <c r="X116" s="86"/>
      <c r="Y116" s="86"/>
      <c r="Z116" s="86"/>
      <c r="AA116" s="86"/>
      <c r="AB116" s="86"/>
      <c r="AC116" s="86"/>
      <c r="AD116" s="86"/>
      <c r="AE116" s="86"/>
      <c r="AF116" s="512"/>
      <c r="AG116" s="86"/>
      <c r="AH116" s="86"/>
      <c r="AI116" s="86"/>
      <c r="AJ116" s="86"/>
      <c r="AK116" s="86"/>
      <c r="AL116" s="86"/>
      <c r="AM116" s="86"/>
      <c r="AN116" s="86"/>
      <c r="AO116" s="86"/>
      <c r="AP116" s="86"/>
      <c r="AQ116" s="86"/>
      <c r="AR116" s="86"/>
      <c r="AS116" s="86"/>
      <c r="AT116" s="86"/>
      <c r="AU116" s="86"/>
      <c r="AV116" s="86"/>
    </row>
    <row r="117" spans="1:48">
      <c r="A117" s="86"/>
      <c r="B117" s="86"/>
      <c r="C117" s="86"/>
      <c r="D117" s="86"/>
      <c r="E117" s="86"/>
      <c r="F117" s="86"/>
      <c r="G117" s="86"/>
      <c r="H117" s="86"/>
      <c r="I117" s="86"/>
      <c r="J117" s="86"/>
      <c r="K117" s="86"/>
      <c r="L117" s="86"/>
      <c r="M117" s="86"/>
      <c r="N117" s="86"/>
      <c r="O117" s="86"/>
      <c r="P117" s="86"/>
      <c r="Q117" s="86"/>
      <c r="R117" s="86"/>
      <c r="S117" s="86"/>
      <c r="T117" s="106"/>
      <c r="U117" s="86"/>
      <c r="V117" s="86"/>
      <c r="W117" s="86"/>
      <c r="X117" s="86"/>
      <c r="Y117" s="86"/>
      <c r="Z117" s="86"/>
      <c r="AA117" s="86"/>
      <c r="AB117" s="86"/>
      <c r="AC117" s="86"/>
      <c r="AD117" s="86"/>
      <c r="AE117" s="86"/>
      <c r="AF117" s="512"/>
      <c r="AG117" s="86"/>
      <c r="AH117" s="86"/>
      <c r="AI117" s="86"/>
      <c r="AJ117" s="86"/>
      <c r="AK117" s="86"/>
      <c r="AL117" s="86"/>
      <c r="AM117" s="86"/>
      <c r="AN117" s="86"/>
      <c r="AO117" s="86"/>
      <c r="AP117" s="86"/>
      <c r="AQ117" s="86"/>
      <c r="AR117" s="86"/>
      <c r="AS117" s="86"/>
      <c r="AT117" s="86"/>
      <c r="AU117" s="86"/>
      <c r="AV117" s="86"/>
    </row>
    <row r="118" spans="1:48">
      <c r="A118" s="86"/>
      <c r="B118" s="86"/>
      <c r="C118" s="86"/>
      <c r="D118" s="86"/>
      <c r="E118" s="86"/>
      <c r="F118" s="86"/>
      <c r="G118" s="86"/>
      <c r="H118" s="86"/>
      <c r="I118" s="86"/>
      <c r="J118" s="86"/>
      <c r="K118" s="86"/>
      <c r="L118" s="86"/>
      <c r="M118" s="86"/>
      <c r="N118" s="86"/>
      <c r="O118" s="86"/>
      <c r="P118" s="86"/>
      <c r="Q118" s="86"/>
      <c r="R118" s="86"/>
      <c r="S118" s="86"/>
      <c r="T118" s="106"/>
      <c r="U118" s="86"/>
      <c r="V118" s="86"/>
      <c r="W118" s="86"/>
      <c r="X118" s="86"/>
      <c r="Y118" s="86"/>
      <c r="Z118" s="86"/>
      <c r="AA118" s="86"/>
      <c r="AB118" s="86"/>
      <c r="AC118" s="86"/>
      <c r="AD118" s="86"/>
      <c r="AE118" s="86"/>
      <c r="AF118" s="512"/>
      <c r="AG118" s="86"/>
      <c r="AH118" s="86"/>
      <c r="AI118" s="86"/>
      <c r="AJ118" s="86"/>
      <c r="AK118" s="86"/>
      <c r="AL118" s="86"/>
      <c r="AM118" s="86"/>
      <c r="AN118" s="86"/>
      <c r="AO118" s="86"/>
      <c r="AP118" s="86"/>
      <c r="AQ118" s="86"/>
      <c r="AR118" s="86"/>
      <c r="AS118" s="86"/>
      <c r="AT118" s="86"/>
      <c r="AU118" s="86"/>
      <c r="AV118" s="86"/>
    </row>
    <row r="119" spans="1:48">
      <c r="A119" s="86"/>
      <c r="B119" s="86"/>
      <c r="C119" s="86"/>
      <c r="D119" s="86"/>
      <c r="E119" s="86"/>
      <c r="F119" s="86"/>
      <c r="G119" s="86"/>
      <c r="H119" s="86"/>
      <c r="I119" s="86"/>
      <c r="J119" s="86"/>
      <c r="K119" s="86"/>
      <c r="L119" s="86"/>
      <c r="M119" s="86"/>
      <c r="N119" s="86"/>
      <c r="O119" s="86"/>
      <c r="P119" s="86"/>
      <c r="Q119" s="86"/>
      <c r="R119" s="86"/>
      <c r="S119" s="86"/>
      <c r="T119" s="106"/>
      <c r="U119" s="86"/>
      <c r="V119" s="86"/>
      <c r="W119" s="86"/>
      <c r="X119" s="86"/>
      <c r="Y119" s="86"/>
      <c r="Z119" s="86"/>
      <c r="AA119" s="86"/>
      <c r="AB119" s="86"/>
      <c r="AC119" s="86"/>
      <c r="AD119" s="86"/>
      <c r="AE119" s="86"/>
      <c r="AF119" s="512"/>
      <c r="AG119" s="86"/>
      <c r="AH119" s="86"/>
      <c r="AI119" s="86"/>
      <c r="AJ119" s="86"/>
      <c r="AK119" s="86"/>
      <c r="AL119" s="86"/>
      <c r="AM119" s="86"/>
      <c r="AN119" s="86"/>
      <c r="AO119" s="86"/>
      <c r="AP119" s="86"/>
      <c r="AQ119" s="86"/>
      <c r="AR119" s="86"/>
      <c r="AS119" s="86"/>
      <c r="AT119" s="86"/>
      <c r="AU119" s="86"/>
      <c r="AV119" s="86"/>
    </row>
    <row r="120" spans="1:48">
      <c r="A120" s="86"/>
      <c r="B120" s="86"/>
      <c r="C120" s="86"/>
      <c r="D120" s="86"/>
      <c r="E120" s="86"/>
      <c r="F120" s="86"/>
      <c r="G120" s="86"/>
      <c r="H120" s="86"/>
      <c r="I120" s="86"/>
      <c r="J120" s="86"/>
      <c r="K120" s="86"/>
      <c r="L120" s="86"/>
      <c r="M120" s="86"/>
      <c r="N120" s="86"/>
      <c r="O120" s="86"/>
      <c r="P120" s="86"/>
      <c r="Q120" s="86"/>
      <c r="R120" s="86"/>
      <c r="S120" s="86"/>
      <c r="T120" s="106"/>
      <c r="U120" s="86"/>
      <c r="V120" s="86"/>
      <c r="W120" s="86"/>
      <c r="X120" s="86"/>
      <c r="Y120" s="86"/>
      <c r="Z120" s="86"/>
      <c r="AA120" s="86"/>
      <c r="AB120" s="86"/>
      <c r="AC120" s="86"/>
      <c r="AD120" s="86"/>
      <c r="AE120" s="86"/>
      <c r="AF120" s="512"/>
      <c r="AG120" s="86"/>
      <c r="AH120" s="86"/>
      <c r="AI120" s="86"/>
      <c r="AJ120" s="86"/>
      <c r="AK120" s="86"/>
      <c r="AL120" s="86"/>
      <c r="AM120" s="86"/>
      <c r="AN120" s="86"/>
      <c r="AO120" s="86"/>
      <c r="AP120" s="86"/>
      <c r="AQ120" s="86"/>
      <c r="AR120" s="86"/>
      <c r="AS120" s="86"/>
      <c r="AT120" s="86"/>
      <c r="AU120" s="86"/>
      <c r="AV120" s="86"/>
    </row>
    <row r="121" spans="1:48">
      <c r="A121" s="86"/>
      <c r="B121" s="86"/>
      <c r="C121" s="86"/>
      <c r="D121" s="86"/>
      <c r="E121" s="86"/>
      <c r="F121" s="86"/>
      <c r="G121" s="86"/>
      <c r="H121" s="86"/>
      <c r="I121" s="86"/>
      <c r="J121" s="86"/>
      <c r="K121" s="86"/>
      <c r="L121" s="86"/>
      <c r="M121" s="86"/>
      <c r="N121" s="86"/>
      <c r="O121" s="86"/>
      <c r="P121" s="86"/>
      <c r="Q121" s="86"/>
      <c r="R121" s="86"/>
      <c r="S121" s="86"/>
      <c r="T121" s="106"/>
      <c r="U121" s="86"/>
      <c r="V121" s="86"/>
      <c r="W121" s="86"/>
      <c r="X121" s="86"/>
      <c r="Y121" s="86"/>
      <c r="Z121" s="86"/>
      <c r="AA121" s="86"/>
      <c r="AB121" s="86"/>
      <c r="AC121" s="86"/>
      <c r="AD121" s="86"/>
      <c r="AE121" s="86"/>
      <c r="AF121" s="512"/>
      <c r="AG121" s="86"/>
      <c r="AH121" s="86"/>
      <c r="AI121" s="86"/>
      <c r="AJ121" s="86"/>
      <c r="AK121" s="86"/>
      <c r="AL121" s="86"/>
      <c r="AM121" s="86"/>
      <c r="AN121" s="86"/>
      <c r="AO121" s="86"/>
      <c r="AP121" s="86"/>
      <c r="AQ121" s="86"/>
      <c r="AR121" s="86"/>
      <c r="AS121" s="86"/>
      <c r="AT121" s="86"/>
      <c r="AU121" s="86"/>
      <c r="AV121" s="86"/>
    </row>
    <row r="122" spans="1:48">
      <c r="A122" s="86"/>
      <c r="B122" s="86"/>
      <c r="C122" s="86"/>
      <c r="D122" s="86"/>
      <c r="E122" s="86"/>
      <c r="F122" s="86"/>
      <c r="G122" s="86"/>
      <c r="H122" s="86"/>
      <c r="I122" s="86"/>
      <c r="J122" s="86"/>
      <c r="K122" s="86"/>
      <c r="L122" s="86"/>
      <c r="M122" s="86"/>
      <c r="N122" s="86"/>
      <c r="O122" s="86"/>
      <c r="P122" s="86"/>
      <c r="Q122" s="86"/>
      <c r="R122" s="86"/>
      <c r="S122" s="86"/>
      <c r="T122" s="106"/>
      <c r="U122" s="86"/>
      <c r="V122" s="86"/>
      <c r="W122" s="86"/>
      <c r="X122" s="86"/>
      <c r="Y122" s="86"/>
      <c r="Z122" s="86"/>
      <c r="AA122" s="86"/>
      <c r="AB122" s="86"/>
      <c r="AC122" s="86"/>
      <c r="AD122" s="86"/>
      <c r="AE122" s="86"/>
      <c r="AF122" s="512"/>
      <c r="AG122" s="86"/>
      <c r="AH122" s="86"/>
      <c r="AI122" s="86"/>
      <c r="AJ122" s="86"/>
      <c r="AK122" s="86"/>
      <c r="AL122" s="86"/>
      <c r="AM122" s="86"/>
      <c r="AN122" s="86"/>
      <c r="AO122" s="86"/>
      <c r="AP122" s="86"/>
      <c r="AQ122" s="86"/>
      <c r="AR122" s="86"/>
      <c r="AS122" s="86"/>
      <c r="AT122" s="86"/>
      <c r="AU122" s="86"/>
      <c r="AV122" s="86"/>
    </row>
    <row r="123" spans="1:48">
      <c r="A123" s="86"/>
      <c r="B123" s="86"/>
      <c r="C123" s="86"/>
      <c r="D123" s="86"/>
      <c r="E123" s="86"/>
      <c r="F123" s="86"/>
      <c r="G123" s="86"/>
      <c r="H123" s="86"/>
      <c r="I123" s="86"/>
      <c r="J123" s="86"/>
      <c r="K123" s="86"/>
      <c r="L123" s="86"/>
      <c r="M123" s="86"/>
      <c r="N123" s="86"/>
      <c r="O123" s="86"/>
      <c r="P123" s="86"/>
      <c r="Q123" s="86"/>
      <c r="R123" s="86"/>
      <c r="S123" s="86"/>
      <c r="T123" s="106"/>
      <c r="U123" s="86"/>
      <c r="V123" s="86"/>
      <c r="W123" s="86"/>
      <c r="X123" s="86"/>
      <c r="Y123" s="86"/>
      <c r="Z123" s="86"/>
      <c r="AA123" s="86"/>
      <c r="AB123" s="86"/>
      <c r="AC123" s="86"/>
      <c r="AD123" s="86"/>
      <c r="AE123" s="86"/>
      <c r="AF123" s="512"/>
      <c r="AG123" s="86"/>
      <c r="AH123" s="86"/>
      <c r="AI123" s="86"/>
      <c r="AJ123" s="86"/>
      <c r="AK123" s="86"/>
      <c r="AL123" s="86"/>
      <c r="AM123" s="86"/>
      <c r="AN123" s="86"/>
      <c r="AO123" s="86"/>
      <c r="AP123" s="86"/>
      <c r="AQ123" s="86"/>
      <c r="AR123" s="86"/>
      <c r="AS123" s="86"/>
      <c r="AT123" s="86"/>
      <c r="AU123" s="86"/>
      <c r="AV123" s="86"/>
    </row>
    <row r="124" spans="1:48">
      <c r="A124" s="86"/>
      <c r="B124" s="86"/>
      <c r="C124" s="86"/>
      <c r="D124" s="86"/>
      <c r="E124" s="86"/>
      <c r="F124" s="86"/>
      <c r="G124" s="86"/>
      <c r="H124" s="86"/>
      <c r="I124" s="86"/>
      <c r="J124" s="86"/>
      <c r="K124" s="86"/>
      <c r="L124" s="86"/>
      <c r="M124" s="86"/>
      <c r="N124" s="86"/>
      <c r="O124" s="86"/>
      <c r="P124" s="86"/>
      <c r="Q124" s="86"/>
      <c r="R124" s="86"/>
      <c r="S124" s="86"/>
      <c r="T124" s="106"/>
      <c r="U124" s="86"/>
      <c r="V124" s="86"/>
      <c r="W124" s="86"/>
      <c r="X124" s="86"/>
      <c r="Y124" s="86"/>
      <c r="Z124" s="86"/>
      <c r="AA124" s="86"/>
      <c r="AB124" s="86"/>
      <c r="AC124" s="86"/>
      <c r="AD124" s="86"/>
      <c r="AE124" s="86"/>
      <c r="AF124" s="512"/>
      <c r="AG124" s="86"/>
      <c r="AH124" s="86"/>
      <c r="AI124" s="86"/>
      <c r="AJ124" s="86"/>
      <c r="AK124" s="86"/>
      <c r="AL124" s="86"/>
      <c r="AM124" s="86"/>
      <c r="AN124" s="86"/>
      <c r="AO124" s="86"/>
      <c r="AP124" s="86"/>
      <c r="AQ124" s="86"/>
      <c r="AR124" s="86"/>
      <c r="AS124" s="86"/>
      <c r="AT124" s="86"/>
      <c r="AU124" s="86"/>
      <c r="AV124" s="86"/>
    </row>
    <row r="125" spans="1:48">
      <c r="A125" s="86"/>
      <c r="B125" s="86"/>
      <c r="C125" s="86"/>
      <c r="D125" s="86"/>
      <c r="E125" s="86"/>
      <c r="F125" s="86"/>
      <c r="G125" s="86"/>
      <c r="H125" s="86"/>
      <c r="I125" s="86"/>
      <c r="J125" s="86"/>
      <c r="K125" s="86"/>
      <c r="L125" s="86"/>
      <c r="M125" s="86"/>
      <c r="N125" s="86"/>
      <c r="O125" s="86"/>
      <c r="P125" s="86"/>
      <c r="Q125" s="86"/>
      <c r="R125" s="86"/>
      <c r="S125" s="86"/>
      <c r="T125" s="106"/>
      <c r="U125" s="86"/>
      <c r="V125" s="86"/>
      <c r="W125" s="86"/>
      <c r="X125" s="86"/>
      <c r="Y125" s="86"/>
      <c r="Z125" s="86"/>
      <c r="AA125" s="86"/>
      <c r="AB125" s="86"/>
      <c r="AC125" s="86"/>
      <c r="AD125" s="86"/>
      <c r="AE125" s="86"/>
      <c r="AF125" s="512"/>
      <c r="AG125" s="86"/>
      <c r="AH125" s="86"/>
      <c r="AI125" s="86"/>
      <c r="AJ125" s="86"/>
      <c r="AK125" s="86"/>
      <c r="AL125" s="86"/>
      <c r="AM125" s="86"/>
      <c r="AN125" s="86"/>
      <c r="AO125" s="86"/>
      <c r="AP125" s="86"/>
      <c r="AQ125" s="86"/>
      <c r="AR125" s="86"/>
      <c r="AS125" s="86"/>
      <c r="AT125" s="86"/>
      <c r="AU125" s="86"/>
      <c r="AV125" s="86"/>
    </row>
    <row r="126" spans="1:48">
      <c r="A126" s="86"/>
      <c r="B126" s="86"/>
      <c r="C126" s="86"/>
      <c r="D126" s="86"/>
      <c r="E126" s="86"/>
      <c r="F126" s="86"/>
      <c r="G126" s="86"/>
      <c r="H126" s="86"/>
      <c r="I126" s="86"/>
      <c r="J126" s="86"/>
      <c r="K126" s="86"/>
      <c r="L126" s="86"/>
      <c r="M126" s="86"/>
      <c r="N126" s="86"/>
      <c r="O126" s="86"/>
      <c r="P126" s="86"/>
      <c r="Q126" s="86"/>
      <c r="R126" s="86"/>
      <c r="S126" s="86"/>
      <c r="T126" s="106"/>
      <c r="U126" s="86"/>
      <c r="V126" s="86"/>
      <c r="W126" s="86"/>
      <c r="X126" s="86"/>
      <c r="Y126" s="86"/>
      <c r="Z126" s="86"/>
      <c r="AA126" s="86"/>
      <c r="AB126" s="86"/>
      <c r="AC126" s="86"/>
      <c r="AD126" s="86"/>
      <c r="AE126" s="86"/>
      <c r="AF126" s="512"/>
      <c r="AG126" s="86"/>
      <c r="AH126" s="86"/>
      <c r="AI126" s="86"/>
      <c r="AJ126" s="86"/>
      <c r="AK126" s="86"/>
      <c r="AL126" s="86"/>
      <c r="AM126" s="86"/>
      <c r="AN126" s="86"/>
      <c r="AO126" s="86"/>
      <c r="AP126" s="86"/>
      <c r="AQ126" s="86"/>
      <c r="AR126" s="86"/>
      <c r="AS126" s="86"/>
      <c r="AT126" s="86"/>
      <c r="AU126" s="86"/>
      <c r="AV126" s="86"/>
    </row>
    <row r="127" spans="1:48">
      <c r="A127" s="86"/>
      <c r="B127" s="86"/>
      <c r="C127" s="86"/>
      <c r="D127" s="86"/>
      <c r="E127" s="86"/>
      <c r="F127" s="86"/>
      <c r="G127" s="86"/>
      <c r="H127" s="86"/>
      <c r="I127" s="86"/>
      <c r="J127" s="86"/>
      <c r="K127" s="86"/>
      <c r="L127" s="86"/>
      <c r="M127" s="86"/>
      <c r="N127" s="86"/>
      <c r="O127" s="86"/>
      <c r="P127" s="86"/>
      <c r="Q127" s="86"/>
      <c r="R127" s="86"/>
      <c r="S127" s="86"/>
      <c r="T127" s="106"/>
      <c r="U127" s="86"/>
      <c r="V127" s="86"/>
      <c r="W127" s="86"/>
      <c r="X127" s="86"/>
      <c r="Y127" s="86"/>
      <c r="Z127" s="86"/>
      <c r="AA127" s="86"/>
      <c r="AB127" s="86"/>
      <c r="AC127" s="86"/>
      <c r="AD127" s="86"/>
      <c r="AE127" s="86"/>
      <c r="AF127" s="512"/>
      <c r="AG127" s="86"/>
      <c r="AH127" s="86"/>
      <c r="AI127" s="86"/>
      <c r="AJ127" s="86"/>
      <c r="AK127" s="86"/>
      <c r="AL127" s="86"/>
      <c r="AM127" s="86"/>
      <c r="AN127" s="86"/>
      <c r="AO127" s="86"/>
      <c r="AP127" s="86"/>
      <c r="AQ127" s="86"/>
      <c r="AR127" s="86"/>
      <c r="AS127" s="86"/>
      <c r="AT127" s="86"/>
      <c r="AU127" s="86"/>
      <c r="AV127" s="86"/>
    </row>
    <row r="128" spans="1:48">
      <c r="A128" s="86"/>
      <c r="B128" s="86"/>
      <c r="C128" s="86"/>
      <c r="D128" s="86"/>
      <c r="E128" s="86"/>
      <c r="F128" s="86"/>
      <c r="G128" s="86"/>
      <c r="H128" s="86"/>
      <c r="I128" s="86"/>
      <c r="J128" s="86"/>
      <c r="K128" s="86"/>
      <c r="L128" s="86"/>
      <c r="M128" s="86"/>
      <c r="N128" s="86"/>
      <c r="O128" s="86"/>
      <c r="P128" s="86"/>
      <c r="Q128" s="86"/>
      <c r="R128" s="86"/>
      <c r="S128" s="86"/>
      <c r="T128" s="106"/>
      <c r="U128" s="86"/>
      <c r="V128" s="86"/>
      <c r="W128" s="86"/>
      <c r="X128" s="86"/>
      <c r="Y128" s="86"/>
      <c r="Z128" s="86"/>
      <c r="AA128" s="86"/>
      <c r="AB128" s="86"/>
      <c r="AC128" s="86"/>
      <c r="AD128" s="86"/>
      <c r="AE128" s="86"/>
      <c r="AF128" s="512"/>
      <c r="AG128" s="86"/>
      <c r="AH128" s="86"/>
      <c r="AI128" s="86"/>
      <c r="AJ128" s="86"/>
      <c r="AK128" s="86"/>
      <c r="AL128" s="86"/>
      <c r="AM128" s="86"/>
      <c r="AN128" s="86"/>
      <c r="AO128" s="86"/>
      <c r="AP128" s="86"/>
      <c r="AQ128" s="86"/>
      <c r="AR128" s="86"/>
      <c r="AS128" s="86"/>
      <c r="AT128" s="86"/>
      <c r="AU128" s="86"/>
      <c r="AV128" s="86"/>
    </row>
    <row r="129" spans="1:48">
      <c r="A129" s="86"/>
      <c r="B129" s="86"/>
      <c r="C129" s="86"/>
      <c r="D129" s="86"/>
      <c r="E129" s="86"/>
      <c r="F129" s="86"/>
      <c r="G129" s="86"/>
      <c r="H129" s="86"/>
      <c r="I129" s="86"/>
      <c r="J129" s="86"/>
      <c r="K129" s="86"/>
      <c r="L129" s="86"/>
      <c r="M129" s="86"/>
      <c r="N129" s="86"/>
      <c r="O129" s="86"/>
      <c r="P129" s="86"/>
      <c r="Q129" s="86"/>
      <c r="R129" s="86"/>
      <c r="S129" s="86"/>
      <c r="T129" s="106"/>
      <c r="U129" s="86"/>
      <c r="V129" s="86"/>
      <c r="W129" s="86"/>
      <c r="X129" s="86"/>
      <c r="Y129" s="86"/>
      <c r="Z129" s="86"/>
      <c r="AA129" s="86"/>
      <c r="AB129" s="86"/>
      <c r="AC129" s="86"/>
      <c r="AD129" s="86"/>
      <c r="AE129" s="86"/>
      <c r="AF129" s="512"/>
      <c r="AG129" s="86"/>
      <c r="AH129" s="86"/>
      <c r="AI129" s="86"/>
      <c r="AJ129" s="86"/>
      <c r="AK129" s="86"/>
      <c r="AL129" s="86"/>
      <c r="AM129" s="86"/>
      <c r="AN129" s="86"/>
      <c r="AO129" s="86"/>
      <c r="AP129" s="86"/>
      <c r="AQ129" s="86"/>
      <c r="AR129" s="86"/>
      <c r="AS129" s="86"/>
      <c r="AT129" s="86"/>
      <c r="AU129" s="86"/>
      <c r="AV129" s="86"/>
    </row>
    <row r="130" spans="1:48">
      <c r="A130" s="86"/>
      <c r="B130" s="86"/>
      <c r="C130" s="86"/>
      <c r="D130" s="86"/>
      <c r="E130" s="86"/>
      <c r="F130" s="86"/>
      <c r="G130" s="86"/>
      <c r="H130" s="86"/>
      <c r="I130" s="86"/>
      <c r="J130" s="86"/>
      <c r="K130" s="86"/>
      <c r="L130" s="86"/>
      <c r="M130" s="86"/>
      <c r="N130" s="86"/>
      <c r="O130" s="86"/>
      <c r="P130" s="86"/>
      <c r="Q130" s="86"/>
      <c r="R130" s="86"/>
      <c r="S130" s="86"/>
      <c r="T130" s="106"/>
      <c r="U130" s="86"/>
      <c r="V130" s="86"/>
      <c r="W130" s="86"/>
      <c r="X130" s="86"/>
      <c r="Y130" s="86"/>
      <c r="Z130" s="86"/>
      <c r="AA130" s="86"/>
      <c r="AB130" s="86"/>
      <c r="AC130" s="86"/>
      <c r="AD130" s="86"/>
      <c r="AE130" s="86"/>
      <c r="AF130" s="512"/>
      <c r="AG130" s="86"/>
      <c r="AH130" s="86"/>
      <c r="AI130" s="86"/>
      <c r="AJ130" s="86"/>
      <c r="AK130" s="86"/>
      <c r="AL130" s="86"/>
      <c r="AM130" s="86"/>
      <c r="AN130" s="86"/>
      <c r="AO130" s="86"/>
      <c r="AP130" s="86"/>
      <c r="AQ130" s="86"/>
      <c r="AR130" s="86"/>
      <c r="AS130" s="86"/>
      <c r="AT130" s="86"/>
      <c r="AU130" s="86"/>
      <c r="AV130" s="86"/>
    </row>
    <row r="131" spans="1:48">
      <c r="A131" s="86"/>
      <c r="B131" s="86"/>
      <c r="C131" s="86"/>
      <c r="D131" s="86"/>
      <c r="E131" s="86"/>
      <c r="F131" s="86"/>
      <c r="G131" s="86"/>
      <c r="H131" s="86"/>
      <c r="I131" s="86"/>
      <c r="J131" s="86"/>
      <c r="K131" s="86"/>
      <c r="L131" s="86"/>
      <c r="M131" s="86"/>
      <c r="N131" s="86"/>
      <c r="O131" s="86"/>
      <c r="P131" s="86"/>
      <c r="Q131" s="86"/>
      <c r="R131" s="86"/>
      <c r="S131" s="86"/>
      <c r="T131" s="106"/>
      <c r="U131" s="86"/>
      <c r="V131" s="86"/>
      <c r="W131" s="86"/>
      <c r="X131" s="86"/>
      <c r="Y131" s="86"/>
      <c r="Z131" s="86"/>
      <c r="AA131" s="86"/>
      <c r="AB131" s="86"/>
      <c r="AC131" s="86"/>
      <c r="AD131" s="86"/>
      <c r="AE131" s="86"/>
      <c r="AF131" s="512"/>
      <c r="AG131" s="86"/>
      <c r="AH131" s="86"/>
      <c r="AI131" s="86"/>
      <c r="AJ131" s="86"/>
      <c r="AK131" s="86"/>
      <c r="AL131" s="86"/>
      <c r="AM131" s="86"/>
      <c r="AN131" s="86"/>
      <c r="AO131" s="86"/>
      <c r="AP131" s="86"/>
      <c r="AQ131" s="86"/>
      <c r="AR131" s="86"/>
      <c r="AS131" s="86"/>
      <c r="AT131" s="86"/>
      <c r="AU131" s="86"/>
      <c r="AV131" s="86"/>
    </row>
    <row r="132" spans="1:48">
      <c r="A132" s="86"/>
      <c r="B132" s="86"/>
      <c r="C132" s="86"/>
      <c r="D132" s="86"/>
      <c r="E132" s="86"/>
      <c r="F132" s="86"/>
      <c r="G132" s="86"/>
      <c r="H132" s="86"/>
      <c r="I132" s="86"/>
      <c r="J132" s="86"/>
      <c r="K132" s="86"/>
      <c r="L132" s="86"/>
      <c r="M132" s="86"/>
      <c r="N132" s="86"/>
      <c r="O132" s="86"/>
      <c r="P132" s="86"/>
      <c r="Q132" s="86"/>
      <c r="R132" s="86"/>
      <c r="S132" s="86"/>
      <c r="T132" s="106"/>
      <c r="U132" s="86"/>
      <c r="V132" s="86"/>
      <c r="W132" s="86"/>
      <c r="X132" s="86"/>
      <c r="Y132" s="86"/>
      <c r="Z132" s="86"/>
      <c r="AA132" s="86"/>
      <c r="AB132" s="86"/>
      <c r="AC132" s="86"/>
      <c r="AD132" s="86"/>
      <c r="AE132" s="86"/>
      <c r="AF132" s="512"/>
      <c r="AG132" s="86"/>
      <c r="AH132" s="86"/>
      <c r="AI132" s="86"/>
      <c r="AJ132" s="86"/>
      <c r="AK132" s="86"/>
      <c r="AL132" s="86"/>
      <c r="AM132" s="86"/>
      <c r="AN132" s="86"/>
      <c r="AO132" s="86"/>
      <c r="AP132" s="86"/>
      <c r="AQ132" s="86"/>
      <c r="AR132" s="86"/>
      <c r="AS132" s="86"/>
      <c r="AT132" s="86"/>
      <c r="AU132" s="86"/>
      <c r="AV132" s="86"/>
    </row>
    <row r="133" spans="1:48">
      <c r="A133" s="86"/>
      <c r="B133" s="86"/>
      <c r="C133" s="86"/>
      <c r="D133" s="86"/>
      <c r="E133" s="86"/>
      <c r="F133" s="86"/>
      <c r="G133" s="86"/>
      <c r="H133" s="86"/>
      <c r="I133" s="86"/>
      <c r="J133" s="86"/>
      <c r="K133" s="86"/>
      <c r="L133" s="86"/>
      <c r="M133" s="86"/>
      <c r="N133" s="86"/>
      <c r="O133" s="86"/>
      <c r="P133" s="86"/>
      <c r="Q133" s="86"/>
      <c r="R133" s="86"/>
      <c r="S133" s="86"/>
      <c r="T133" s="106"/>
      <c r="U133" s="86"/>
      <c r="V133" s="86"/>
      <c r="W133" s="86"/>
      <c r="X133" s="86"/>
      <c r="Y133" s="86"/>
      <c r="Z133" s="86"/>
      <c r="AA133" s="86"/>
      <c r="AB133" s="86"/>
      <c r="AC133" s="86"/>
      <c r="AD133" s="86"/>
      <c r="AE133" s="86"/>
      <c r="AF133" s="512"/>
      <c r="AG133" s="86"/>
      <c r="AH133" s="86"/>
      <c r="AI133" s="86"/>
      <c r="AJ133" s="86"/>
      <c r="AK133" s="86"/>
      <c r="AL133" s="86"/>
      <c r="AM133" s="86"/>
      <c r="AN133" s="86"/>
      <c r="AO133" s="86"/>
      <c r="AP133" s="86"/>
      <c r="AQ133" s="86"/>
      <c r="AR133" s="86"/>
      <c r="AS133" s="86"/>
      <c r="AT133" s="86"/>
      <c r="AU133" s="86"/>
      <c r="AV133" s="86"/>
    </row>
    <row r="134" spans="1:48">
      <c r="A134" s="86"/>
      <c r="B134" s="86"/>
      <c r="C134" s="86"/>
      <c r="D134" s="86"/>
      <c r="E134" s="86"/>
      <c r="F134" s="86"/>
      <c r="G134" s="86"/>
      <c r="H134" s="86"/>
      <c r="I134" s="86"/>
      <c r="J134" s="86"/>
      <c r="K134" s="86"/>
      <c r="L134" s="86"/>
      <c r="M134" s="86"/>
      <c r="N134" s="86"/>
      <c r="O134" s="86"/>
      <c r="P134" s="86"/>
      <c r="Q134" s="86"/>
      <c r="R134" s="86"/>
      <c r="S134" s="86"/>
      <c r="T134" s="106"/>
      <c r="U134" s="86"/>
      <c r="V134" s="86"/>
      <c r="W134" s="86"/>
      <c r="X134" s="86"/>
      <c r="Y134" s="86"/>
      <c r="Z134" s="86"/>
      <c r="AA134" s="86"/>
      <c r="AB134" s="86"/>
      <c r="AC134" s="86"/>
      <c r="AD134" s="86"/>
      <c r="AE134" s="86"/>
      <c r="AF134" s="512"/>
      <c r="AG134" s="86"/>
      <c r="AH134" s="86"/>
      <c r="AI134" s="86"/>
      <c r="AJ134" s="86"/>
      <c r="AK134" s="86"/>
      <c r="AL134" s="86"/>
      <c r="AM134" s="86"/>
      <c r="AN134" s="86"/>
      <c r="AO134" s="86"/>
      <c r="AP134" s="86"/>
      <c r="AQ134" s="86"/>
      <c r="AR134" s="86"/>
      <c r="AS134" s="86"/>
      <c r="AT134" s="86"/>
      <c r="AU134" s="86"/>
      <c r="AV134" s="86"/>
    </row>
    <row r="135" spans="1:48">
      <c r="A135" s="86"/>
      <c r="B135" s="86"/>
      <c r="C135" s="86"/>
      <c r="D135" s="86"/>
      <c r="E135" s="86"/>
      <c r="F135" s="86"/>
      <c r="G135" s="86"/>
      <c r="H135" s="86"/>
      <c r="I135" s="86"/>
      <c r="J135" s="86"/>
      <c r="K135" s="86"/>
      <c r="L135" s="86"/>
      <c r="M135" s="86"/>
      <c r="N135" s="86"/>
      <c r="O135" s="86"/>
      <c r="P135" s="86"/>
      <c r="Q135" s="86"/>
      <c r="R135" s="86"/>
      <c r="S135" s="86"/>
      <c r="T135" s="106"/>
      <c r="U135" s="86"/>
      <c r="V135" s="86"/>
      <c r="W135" s="86"/>
      <c r="X135" s="86"/>
      <c r="Y135" s="86"/>
      <c r="Z135" s="86"/>
      <c r="AA135" s="86"/>
      <c r="AB135" s="86"/>
      <c r="AC135" s="86"/>
      <c r="AD135" s="86"/>
      <c r="AE135" s="86"/>
      <c r="AF135" s="512"/>
      <c r="AG135" s="86"/>
      <c r="AH135" s="86"/>
      <c r="AI135" s="86"/>
      <c r="AJ135" s="86"/>
      <c r="AK135" s="86"/>
      <c r="AL135" s="86"/>
      <c r="AM135" s="86"/>
      <c r="AN135" s="86"/>
      <c r="AO135" s="86"/>
      <c r="AP135" s="86"/>
      <c r="AQ135" s="86"/>
      <c r="AR135" s="86"/>
      <c r="AS135" s="86"/>
      <c r="AT135" s="86"/>
      <c r="AU135" s="86"/>
      <c r="AV135" s="86"/>
    </row>
    <row r="136" spans="1:48">
      <c r="A136" s="86"/>
      <c r="B136" s="86"/>
      <c r="C136" s="86"/>
      <c r="D136" s="86"/>
      <c r="E136" s="86"/>
      <c r="F136" s="86"/>
      <c r="G136" s="86"/>
      <c r="H136" s="86"/>
      <c r="I136" s="86"/>
      <c r="J136" s="86"/>
      <c r="K136" s="86"/>
      <c r="L136" s="86"/>
      <c r="M136" s="86"/>
      <c r="N136" s="86"/>
      <c r="O136" s="86"/>
      <c r="P136" s="86"/>
      <c r="Q136" s="86"/>
      <c r="R136" s="86"/>
      <c r="S136" s="86"/>
      <c r="T136" s="106"/>
      <c r="U136" s="86"/>
      <c r="V136" s="86"/>
      <c r="W136" s="86"/>
      <c r="X136" s="86"/>
      <c r="Y136" s="86"/>
      <c r="Z136" s="86"/>
      <c r="AA136" s="86"/>
      <c r="AB136" s="86"/>
      <c r="AC136" s="86"/>
      <c r="AD136" s="86"/>
      <c r="AE136" s="86"/>
      <c r="AF136" s="512"/>
      <c r="AG136" s="86"/>
      <c r="AH136" s="86"/>
      <c r="AI136" s="86"/>
      <c r="AJ136" s="86"/>
      <c r="AK136" s="86"/>
      <c r="AL136" s="86"/>
      <c r="AM136" s="86"/>
      <c r="AN136" s="86"/>
      <c r="AO136" s="86"/>
      <c r="AP136" s="86"/>
      <c r="AQ136" s="86"/>
      <c r="AR136" s="86"/>
      <c r="AS136" s="86"/>
      <c r="AT136" s="86"/>
      <c r="AU136" s="86"/>
      <c r="AV136" s="86"/>
    </row>
    <row r="137" spans="1:48">
      <c r="A137" s="86"/>
      <c r="B137" s="86"/>
      <c r="C137" s="86"/>
      <c r="D137" s="86"/>
      <c r="E137" s="86"/>
      <c r="F137" s="86"/>
      <c r="G137" s="86"/>
      <c r="H137" s="86"/>
      <c r="I137" s="86"/>
      <c r="J137" s="86"/>
      <c r="K137" s="86"/>
      <c r="L137" s="86"/>
      <c r="M137" s="86"/>
      <c r="N137" s="86"/>
      <c r="O137" s="86"/>
      <c r="P137" s="86"/>
      <c r="Q137" s="86"/>
      <c r="R137" s="86"/>
      <c r="S137" s="86"/>
      <c r="T137" s="106"/>
      <c r="U137" s="86"/>
      <c r="V137" s="86"/>
      <c r="W137" s="86"/>
      <c r="X137" s="86"/>
      <c r="Y137" s="86"/>
      <c r="Z137" s="86"/>
      <c r="AA137" s="86"/>
      <c r="AB137" s="86"/>
      <c r="AC137" s="86"/>
      <c r="AD137" s="86"/>
      <c r="AE137" s="86"/>
      <c r="AF137" s="512"/>
      <c r="AG137" s="86"/>
      <c r="AH137" s="86"/>
      <c r="AI137" s="86"/>
      <c r="AJ137" s="86"/>
      <c r="AK137" s="86"/>
      <c r="AL137" s="86"/>
      <c r="AM137" s="86"/>
      <c r="AN137" s="86"/>
      <c r="AO137" s="86"/>
      <c r="AP137" s="86"/>
      <c r="AQ137" s="86"/>
      <c r="AR137" s="86"/>
      <c r="AS137" s="86"/>
      <c r="AT137" s="86"/>
      <c r="AU137" s="86"/>
      <c r="AV137" s="86"/>
    </row>
    <row r="138" spans="1:48">
      <c r="A138" s="86"/>
      <c r="B138" s="86"/>
      <c r="C138" s="86"/>
      <c r="D138" s="86"/>
      <c r="E138" s="86"/>
      <c r="F138" s="86"/>
      <c r="G138" s="86"/>
      <c r="H138" s="86"/>
      <c r="I138" s="86"/>
      <c r="J138" s="86"/>
      <c r="K138" s="86"/>
      <c r="L138" s="86"/>
      <c r="M138" s="86"/>
      <c r="N138" s="86"/>
      <c r="O138" s="86"/>
      <c r="P138" s="86"/>
      <c r="Q138" s="86"/>
      <c r="R138" s="86"/>
      <c r="S138" s="86"/>
      <c r="T138" s="106"/>
      <c r="U138" s="86"/>
      <c r="V138" s="86"/>
      <c r="W138" s="86"/>
      <c r="X138" s="86"/>
      <c r="Y138" s="86"/>
      <c r="Z138" s="86"/>
      <c r="AA138" s="86"/>
      <c r="AB138" s="86"/>
      <c r="AC138" s="86"/>
      <c r="AD138" s="86"/>
      <c r="AE138" s="86"/>
      <c r="AF138" s="512"/>
      <c r="AG138" s="86"/>
      <c r="AH138" s="86"/>
      <c r="AI138" s="86"/>
      <c r="AJ138" s="86"/>
      <c r="AK138" s="86"/>
      <c r="AL138" s="86"/>
      <c r="AM138" s="86"/>
      <c r="AN138" s="86"/>
      <c r="AO138" s="86"/>
      <c r="AP138" s="86"/>
      <c r="AQ138" s="86"/>
      <c r="AR138" s="86"/>
      <c r="AS138" s="86"/>
      <c r="AT138" s="86"/>
      <c r="AU138" s="86"/>
      <c r="AV138" s="86"/>
    </row>
    <row r="139" spans="1:48">
      <c r="A139" s="86"/>
      <c r="B139" s="86"/>
      <c r="C139" s="86"/>
      <c r="D139" s="86"/>
      <c r="E139" s="86"/>
      <c r="F139" s="86"/>
      <c r="G139" s="86"/>
      <c r="H139" s="86"/>
      <c r="I139" s="86"/>
      <c r="J139" s="86"/>
      <c r="K139" s="86"/>
      <c r="L139" s="86"/>
      <c r="M139" s="86"/>
      <c r="N139" s="86"/>
      <c r="O139" s="86"/>
      <c r="P139" s="86"/>
      <c r="Q139" s="86"/>
      <c r="R139" s="86"/>
      <c r="S139" s="86"/>
      <c r="T139" s="106"/>
      <c r="U139" s="86"/>
      <c r="V139" s="86"/>
      <c r="W139" s="86"/>
      <c r="X139" s="86"/>
      <c r="Y139" s="86"/>
      <c r="Z139" s="86"/>
      <c r="AA139" s="86"/>
      <c r="AB139" s="86"/>
      <c r="AC139" s="86"/>
      <c r="AD139" s="86"/>
      <c r="AE139" s="86"/>
      <c r="AF139" s="512"/>
      <c r="AG139" s="86"/>
      <c r="AH139" s="86"/>
      <c r="AI139" s="86"/>
      <c r="AJ139" s="86"/>
      <c r="AK139" s="86"/>
      <c r="AL139" s="86"/>
      <c r="AM139" s="86"/>
      <c r="AN139" s="86"/>
      <c r="AO139" s="86"/>
      <c r="AP139" s="86"/>
      <c r="AQ139" s="86"/>
      <c r="AR139" s="86"/>
      <c r="AS139" s="86"/>
      <c r="AT139" s="86"/>
      <c r="AU139" s="86"/>
      <c r="AV139" s="86"/>
    </row>
    <row r="140" spans="1:48">
      <c r="A140" s="86"/>
      <c r="B140" s="86"/>
      <c r="C140" s="86"/>
      <c r="D140" s="86"/>
      <c r="E140" s="86"/>
      <c r="F140" s="86"/>
      <c r="G140" s="86"/>
      <c r="H140" s="86"/>
      <c r="I140" s="86"/>
      <c r="J140" s="86"/>
      <c r="K140" s="86"/>
      <c r="L140" s="86"/>
      <c r="M140" s="86"/>
      <c r="N140" s="86"/>
      <c r="O140" s="86"/>
      <c r="P140" s="86"/>
      <c r="Q140" s="86"/>
      <c r="R140" s="86"/>
      <c r="S140" s="86"/>
      <c r="T140" s="106"/>
      <c r="U140" s="86"/>
      <c r="V140" s="86"/>
      <c r="W140" s="86"/>
      <c r="X140" s="86"/>
      <c r="Y140" s="86"/>
      <c r="Z140" s="86"/>
      <c r="AA140" s="86"/>
      <c r="AB140" s="86"/>
      <c r="AC140" s="86"/>
      <c r="AD140" s="86"/>
      <c r="AE140" s="86"/>
      <c r="AF140" s="512"/>
      <c r="AG140" s="86"/>
      <c r="AH140" s="86"/>
      <c r="AI140" s="86"/>
      <c r="AJ140" s="86"/>
      <c r="AK140" s="86"/>
      <c r="AL140" s="86"/>
      <c r="AM140" s="86"/>
      <c r="AN140" s="86"/>
      <c r="AO140" s="86"/>
      <c r="AP140" s="86"/>
      <c r="AQ140" s="86"/>
      <c r="AR140" s="86"/>
      <c r="AS140" s="86"/>
      <c r="AT140" s="86"/>
      <c r="AU140" s="86"/>
      <c r="AV140" s="86"/>
    </row>
    <row r="141" spans="1:48">
      <c r="A141" s="86"/>
      <c r="B141" s="86"/>
      <c r="C141" s="86"/>
      <c r="D141" s="86"/>
      <c r="E141" s="86"/>
      <c r="F141" s="86"/>
      <c r="G141" s="86"/>
      <c r="H141" s="86"/>
      <c r="I141" s="86"/>
      <c r="J141" s="86"/>
      <c r="K141" s="86"/>
      <c r="L141" s="86"/>
      <c r="M141" s="86"/>
      <c r="N141" s="86"/>
      <c r="O141" s="86"/>
      <c r="P141" s="86"/>
      <c r="Q141" s="86"/>
      <c r="R141" s="86"/>
      <c r="S141" s="86"/>
      <c r="T141" s="106"/>
      <c r="U141" s="86"/>
      <c r="V141" s="86"/>
      <c r="W141" s="86"/>
      <c r="X141" s="86"/>
      <c r="Y141" s="86"/>
      <c r="Z141" s="86"/>
      <c r="AA141" s="86"/>
      <c r="AB141" s="86"/>
      <c r="AC141" s="86"/>
      <c r="AD141" s="86"/>
      <c r="AE141" s="86"/>
      <c r="AF141" s="512"/>
      <c r="AG141" s="86"/>
      <c r="AH141" s="86"/>
      <c r="AI141" s="86"/>
      <c r="AJ141" s="86"/>
      <c r="AK141" s="86"/>
      <c r="AL141" s="86"/>
      <c r="AM141" s="86"/>
      <c r="AN141" s="86"/>
      <c r="AO141" s="86"/>
      <c r="AP141" s="86"/>
      <c r="AQ141" s="86"/>
      <c r="AR141" s="86"/>
      <c r="AS141" s="86"/>
      <c r="AT141" s="86"/>
      <c r="AU141" s="86"/>
      <c r="AV141" s="86"/>
    </row>
    <row r="142" spans="1:48">
      <c r="A142" s="86"/>
      <c r="B142" s="86"/>
      <c r="C142" s="86"/>
      <c r="D142" s="86"/>
      <c r="E142" s="86"/>
      <c r="F142" s="86"/>
      <c r="G142" s="86"/>
      <c r="H142" s="86"/>
      <c r="I142" s="86"/>
      <c r="J142" s="86"/>
      <c r="K142" s="86"/>
      <c r="L142" s="86"/>
      <c r="M142" s="86"/>
      <c r="N142" s="86"/>
      <c r="O142" s="86"/>
      <c r="P142" s="86"/>
      <c r="Q142" s="86"/>
      <c r="R142" s="86"/>
      <c r="S142" s="86"/>
      <c r="T142" s="106"/>
      <c r="U142" s="86"/>
      <c r="V142" s="86"/>
      <c r="W142" s="86"/>
      <c r="X142" s="86"/>
      <c r="Y142" s="86"/>
      <c r="Z142" s="86"/>
      <c r="AA142" s="86"/>
      <c r="AB142" s="86"/>
      <c r="AC142" s="86"/>
      <c r="AD142" s="86"/>
      <c r="AE142" s="86"/>
      <c r="AF142" s="512"/>
      <c r="AG142" s="86"/>
      <c r="AH142" s="86"/>
      <c r="AI142" s="86"/>
      <c r="AJ142" s="86"/>
      <c r="AK142" s="86"/>
      <c r="AL142" s="86"/>
      <c r="AM142" s="86"/>
      <c r="AN142" s="86"/>
      <c r="AO142" s="86"/>
      <c r="AP142" s="86"/>
      <c r="AQ142" s="86"/>
      <c r="AR142" s="86"/>
      <c r="AS142" s="86"/>
      <c r="AT142" s="86"/>
      <c r="AU142" s="86"/>
      <c r="AV142" s="86"/>
    </row>
    <row r="143" spans="1:48">
      <c r="A143" s="86"/>
      <c r="B143" s="86"/>
      <c r="C143" s="86"/>
      <c r="D143" s="86"/>
      <c r="E143" s="86"/>
      <c r="F143" s="86"/>
      <c r="G143" s="86"/>
      <c r="H143" s="86"/>
      <c r="I143" s="86"/>
      <c r="J143" s="86"/>
      <c r="K143" s="86"/>
      <c r="L143" s="86"/>
      <c r="M143" s="86"/>
      <c r="N143" s="86"/>
      <c r="O143" s="86"/>
      <c r="P143" s="86"/>
      <c r="Q143" s="86"/>
      <c r="R143" s="86"/>
      <c r="S143" s="86"/>
      <c r="T143" s="106"/>
      <c r="U143" s="86"/>
      <c r="V143" s="86"/>
      <c r="W143" s="86"/>
      <c r="X143" s="86"/>
      <c r="Y143" s="86"/>
      <c r="Z143" s="86"/>
      <c r="AA143" s="86"/>
      <c r="AB143" s="86"/>
      <c r="AC143" s="86"/>
      <c r="AD143" s="86"/>
      <c r="AE143" s="86"/>
      <c r="AF143" s="512"/>
      <c r="AG143" s="86"/>
      <c r="AH143" s="86"/>
      <c r="AI143" s="86"/>
      <c r="AJ143" s="86"/>
      <c r="AK143" s="86"/>
      <c r="AL143" s="86"/>
      <c r="AM143" s="86"/>
      <c r="AN143" s="86"/>
      <c r="AO143" s="86"/>
      <c r="AP143" s="86"/>
      <c r="AQ143" s="86"/>
      <c r="AR143" s="86"/>
      <c r="AS143" s="86"/>
      <c r="AT143" s="86"/>
      <c r="AU143" s="86"/>
      <c r="AV143" s="86"/>
    </row>
    <row r="144" spans="1:48">
      <c r="A144" s="86"/>
      <c r="B144" s="86"/>
      <c r="C144" s="86"/>
      <c r="D144" s="86"/>
      <c r="E144" s="86"/>
      <c r="F144" s="86"/>
      <c r="G144" s="86"/>
      <c r="H144" s="86"/>
      <c r="I144" s="86"/>
      <c r="J144" s="86"/>
      <c r="K144" s="86"/>
      <c r="L144" s="86"/>
      <c r="M144" s="86"/>
      <c r="N144" s="86"/>
      <c r="O144" s="86"/>
      <c r="P144" s="86"/>
      <c r="Q144" s="86"/>
      <c r="R144" s="86"/>
      <c r="S144" s="86"/>
      <c r="T144" s="106"/>
      <c r="U144" s="86"/>
      <c r="V144" s="86"/>
      <c r="W144" s="86"/>
      <c r="X144" s="86"/>
      <c r="Y144" s="86"/>
      <c r="Z144" s="86"/>
      <c r="AA144" s="86"/>
      <c r="AB144" s="86"/>
      <c r="AC144" s="86"/>
      <c r="AD144" s="86"/>
      <c r="AE144" s="86"/>
      <c r="AF144" s="512"/>
      <c r="AG144" s="86"/>
      <c r="AH144" s="86"/>
      <c r="AI144" s="86"/>
      <c r="AJ144" s="86"/>
      <c r="AK144" s="86"/>
      <c r="AL144" s="86"/>
      <c r="AM144" s="86"/>
      <c r="AN144" s="86"/>
      <c r="AO144" s="86"/>
      <c r="AP144" s="86"/>
      <c r="AQ144" s="86"/>
      <c r="AR144" s="86"/>
      <c r="AS144" s="86"/>
      <c r="AT144" s="86"/>
      <c r="AU144" s="86"/>
      <c r="AV144" s="86"/>
    </row>
    <row r="145" spans="1:48">
      <c r="A145" s="86"/>
      <c r="B145" s="86"/>
      <c r="C145" s="86"/>
      <c r="D145" s="86"/>
      <c r="E145" s="86"/>
      <c r="F145" s="86"/>
      <c r="G145" s="86"/>
      <c r="H145" s="86"/>
      <c r="I145" s="86"/>
      <c r="J145" s="86"/>
      <c r="K145" s="86"/>
      <c r="L145" s="86"/>
      <c r="M145" s="86"/>
      <c r="N145" s="86"/>
      <c r="O145" s="86"/>
      <c r="P145" s="86"/>
      <c r="Q145" s="86"/>
      <c r="R145" s="86"/>
      <c r="S145" s="86"/>
      <c r="T145" s="106"/>
      <c r="U145" s="86"/>
      <c r="V145" s="86"/>
      <c r="W145" s="86"/>
      <c r="X145" s="86"/>
      <c r="Y145" s="86"/>
      <c r="Z145" s="86"/>
      <c r="AA145" s="86"/>
      <c r="AB145" s="86"/>
      <c r="AC145" s="86"/>
      <c r="AD145" s="86"/>
      <c r="AE145" s="86"/>
      <c r="AF145" s="512"/>
      <c r="AG145" s="86"/>
      <c r="AH145" s="86"/>
      <c r="AI145" s="86"/>
      <c r="AJ145" s="86"/>
      <c r="AK145" s="86"/>
      <c r="AL145" s="86"/>
      <c r="AM145" s="86"/>
      <c r="AN145" s="86"/>
      <c r="AO145" s="86"/>
      <c r="AP145" s="86"/>
      <c r="AQ145" s="86"/>
      <c r="AR145" s="86"/>
      <c r="AS145" s="86"/>
      <c r="AT145" s="86"/>
      <c r="AU145" s="86"/>
      <c r="AV145" s="86"/>
    </row>
    <row r="146" spans="1:48">
      <c r="A146" s="86"/>
      <c r="B146" s="86"/>
      <c r="C146" s="86"/>
      <c r="D146" s="86"/>
      <c r="E146" s="86"/>
      <c r="F146" s="86"/>
      <c r="G146" s="86"/>
      <c r="H146" s="86"/>
      <c r="I146" s="86"/>
      <c r="J146" s="86"/>
      <c r="K146" s="86"/>
      <c r="L146" s="86"/>
      <c r="M146" s="86"/>
      <c r="N146" s="86"/>
      <c r="O146" s="86"/>
      <c r="P146" s="86"/>
      <c r="Q146" s="86"/>
      <c r="R146" s="86"/>
      <c r="S146" s="86"/>
      <c r="T146" s="106"/>
      <c r="U146" s="86"/>
      <c r="V146" s="86"/>
      <c r="W146" s="86"/>
      <c r="X146" s="86"/>
      <c r="Y146" s="86"/>
      <c r="Z146" s="86"/>
      <c r="AA146" s="86"/>
      <c r="AB146" s="86"/>
      <c r="AC146" s="86"/>
      <c r="AD146" s="86"/>
      <c r="AE146" s="86"/>
      <c r="AF146" s="512"/>
      <c r="AG146" s="86"/>
      <c r="AH146" s="86"/>
      <c r="AI146" s="86"/>
      <c r="AJ146" s="86"/>
      <c r="AK146" s="86"/>
      <c r="AL146" s="86"/>
      <c r="AM146" s="86"/>
      <c r="AN146" s="86"/>
      <c r="AO146" s="86"/>
      <c r="AP146" s="86"/>
      <c r="AQ146" s="86"/>
      <c r="AR146" s="86"/>
      <c r="AS146" s="86"/>
      <c r="AT146" s="86"/>
      <c r="AU146" s="86"/>
      <c r="AV146" s="86"/>
    </row>
    <row r="147" spans="1:48">
      <c r="A147" s="86"/>
      <c r="B147" s="86"/>
      <c r="C147" s="86"/>
      <c r="D147" s="86"/>
      <c r="E147" s="86"/>
      <c r="F147" s="86"/>
      <c r="G147" s="86"/>
      <c r="H147" s="86"/>
      <c r="I147" s="86"/>
      <c r="J147" s="86"/>
      <c r="K147" s="86"/>
      <c r="L147" s="86"/>
      <c r="M147" s="86"/>
      <c r="N147" s="86"/>
      <c r="O147" s="86"/>
      <c r="P147" s="86"/>
      <c r="Q147" s="86"/>
      <c r="R147" s="86"/>
      <c r="S147" s="86"/>
      <c r="T147" s="106"/>
      <c r="U147" s="86"/>
      <c r="V147" s="86"/>
      <c r="W147" s="86"/>
      <c r="X147" s="86"/>
      <c r="Y147" s="86"/>
      <c r="Z147" s="86"/>
      <c r="AA147" s="86"/>
      <c r="AB147" s="86"/>
      <c r="AC147" s="86"/>
      <c r="AD147" s="86"/>
      <c r="AE147" s="86"/>
      <c r="AF147" s="512"/>
      <c r="AG147" s="86"/>
      <c r="AH147" s="86"/>
      <c r="AI147" s="86"/>
      <c r="AJ147" s="86"/>
      <c r="AK147" s="86"/>
      <c r="AL147" s="86"/>
      <c r="AM147" s="86"/>
      <c r="AN147" s="86"/>
      <c r="AO147" s="86"/>
      <c r="AP147" s="86"/>
      <c r="AQ147" s="86"/>
      <c r="AR147" s="86"/>
      <c r="AS147" s="86"/>
      <c r="AT147" s="86"/>
      <c r="AU147" s="86"/>
      <c r="AV147" s="86"/>
    </row>
    <row r="148" spans="1:48">
      <c r="A148" s="86"/>
      <c r="B148" s="86"/>
      <c r="C148" s="86"/>
      <c r="D148" s="86"/>
      <c r="E148" s="86"/>
      <c r="F148" s="86"/>
      <c r="G148" s="86"/>
      <c r="H148" s="86"/>
      <c r="I148" s="86"/>
      <c r="J148" s="86"/>
      <c r="K148" s="86"/>
      <c r="L148" s="86"/>
      <c r="M148" s="86"/>
      <c r="N148" s="86"/>
      <c r="O148" s="86"/>
      <c r="P148" s="86"/>
      <c r="Q148" s="86"/>
      <c r="R148" s="86"/>
      <c r="S148" s="86"/>
      <c r="T148" s="106"/>
      <c r="U148" s="86"/>
      <c r="V148" s="86"/>
      <c r="W148" s="86"/>
      <c r="X148" s="86"/>
      <c r="Y148" s="86"/>
      <c r="Z148" s="86"/>
      <c r="AA148" s="86"/>
      <c r="AB148" s="86"/>
      <c r="AC148" s="86"/>
      <c r="AD148" s="86"/>
      <c r="AE148" s="86"/>
      <c r="AF148" s="512"/>
      <c r="AG148" s="86"/>
      <c r="AH148" s="86"/>
      <c r="AI148" s="86"/>
      <c r="AJ148" s="86"/>
      <c r="AK148" s="86"/>
      <c r="AL148" s="86"/>
      <c r="AM148" s="86"/>
      <c r="AN148" s="86"/>
      <c r="AO148" s="86"/>
      <c r="AP148" s="86"/>
      <c r="AQ148" s="86"/>
      <c r="AR148" s="86"/>
      <c r="AS148" s="86"/>
      <c r="AT148" s="86"/>
      <c r="AU148" s="86"/>
      <c r="AV148" s="86"/>
    </row>
    <row r="149" spans="1:48">
      <c r="A149" s="86"/>
      <c r="B149" s="86"/>
      <c r="C149" s="86"/>
      <c r="D149" s="86"/>
      <c r="E149" s="86"/>
      <c r="F149" s="86"/>
      <c r="G149" s="86"/>
      <c r="H149" s="86"/>
      <c r="I149" s="86"/>
      <c r="J149" s="86"/>
      <c r="K149" s="86"/>
      <c r="L149" s="86"/>
      <c r="M149" s="86"/>
      <c r="N149" s="86"/>
      <c r="O149" s="86"/>
      <c r="P149" s="86"/>
      <c r="Q149" s="86"/>
      <c r="R149" s="86"/>
      <c r="S149" s="86"/>
      <c r="T149" s="106"/>
      <c r="U149" s="86"/>
      <c r="V149" s="86"/>
      <c r="W149" s="86"/>
      <c r="X149" s="86"/>
      <c r="Y149" s="86"/>
      <c r="Z149" s="86"/>
      <c r="AA149" s="86"/>
      <c r="AB149" s="86"/>
      <c r="AC149" s="86"/>
      <c r="AD149" s="86"/>
      <c r="AE149" s="86"/>
      <c r="AF149" s="512"/>
      <c r="AG149" s="86"/>
      <c r="AH149" s="86"/>
      <c r="AI149" s="86"/>
      <c r="AJ149" s="86"/>
      <c r="AK149" s="86"/>
      <c r="AL149" s="86"/>
      <c r="AM149" s="86"/>
      <c r="AN149" s="86"/>
      <c r="AO149" s="86"/>
      <c r="AP149" s="86"/>
      <c r="AQ149" s="86"/>
      <c r="AR149" s="86"/>
      <c r="AS149" s="86"/>
      <c r="AT149" s="86"/>
      <c r="AU149" s="86"/>
      <c r="AV149" s="86"/>
    </row>
    <row r="150" spans="1:48">
      <c r="A150" s="86"/>
      <c r="B150" s="86"/>
      <c r="C150" s="86"/>
      <c r="D150" s="86"/>
      <c r="E150" s="86"/>
      <c r="F150" s="86"/>
      <c r="G150" s="86"/>
      <c r="H150" s="86"/>
      <c r="I150" s="86"/>
      <c r="J150" s="86"/>
      <c r="K150" s="86"/>
      <c r="L150" s="86"/>
      <c r="M150" s="86"/>
      <c r="N150" s="86"/>
      <c r="O150" s="86"/>
      <c r="P150" s="86"/>
      <c r="Q150" s="86"/>
      <c r="R150" s="86"/>
      <c r="S150" s="86"/>
      <c r="T150" s="106"/>
      <c r="U150" s="86"/>
      <c r="V150" s="86"/>
      <c r="W150" s="86"/>
      <c r="X150" s="86"/>
      <c r="Y150" s="86"/>
      <c r="Z150" s="86"/>
      <c r="AA150" s="86"/>
      <c r="AB150" s="86"/>
      <c r="AC150" s="86"/>
      <c r="AD150" s="86"/>
      <c r="AE150" s="86"/>
      <c r="AF150" s="512"/>
      <c r="AG150" s="86"/>
      <c r="AH150" s="86"/>
      <c r="AI150" s="86"/>
      <c r="AJ150" s="86"/>
      <c r="AK150" s="86"/>
      <c r="AL150" s="86"/>
      <c r="AM150" s="86"/>
      <c r="AN150" s="86"/>
      <c r="AO150" s="86"/>
      <c r="AP150" s="86"/>
      <c r="AQ150" s="86"/>
      <c r="AR150" s="86"/>
      <c r="AS150" s="86"/>
      <c r="AT150" s="86"/>
      <c r="AU150" s="86"/>
      <c r="AV150" s="86"/>
    </row>
    <row r="151" spans="1:48">
      <c r="A151" s="86"/>
      <c r="B151" s="86"/>
      <c r="C151" s="86"/>
      <c r="D151" s="86"/>
      <c r="E151" s="86"/>
      <c r="F151" s="86"/>
      <c r="G151" s="86"/>
      <c r="H151" s="86"/>
      <c r="I151" s="86"/>
      <c r="J151" s="86"/>
      <c r="K151" s="86"/>
      <c r="L151" s="86"/>
      <c r="M151" s="86"/>
      <c r="N151" s="86"/>
      <c r="O151" s="86"/>
      <c r="P151" s="86"/>
      <c r="Q151" s="86"/>
      <c r="R151" s="86"/>
      <c r="S151" s="86"/>
      <c r="T151" s="106"/>
      <c r="U151" s="86"/>
      <c r="V151" s="86"/>
      <c r="W151" s="86"/>
      <c r="X151" s="86"/>
      <c r="Y151" s="86"/>
      <c r="Z151" s="86"/>
      <c r="AA151" s="86"/>
      <c r="AB151" s="86"/>
      <c r="AC151" s="86"/>
      <c r="AD151" s="86"/>
      <c r="AE151" s="86"/>
      <c r="AF151" s="512"/>
      <c r="AG151" s="86"/>
      <c r="AH151" s="86"/>
      <c r="AI151" s="86"/>
      <c r="AJ151" s="86"/>
      <c r="AK151" s="86"/>
      <c r="AL151" s="86"/>
      <c r="AM151" s="86"/>
      <c r="AN151" s="86"/>
      <c r="AO151" s="86"/>
      <c r="AP151" s="86"/>
      <c r="AQ151" s="86"/>
      <c r="AR151" s="86"/>
      <c r="AS151" s="86"/>
      <c r="AT151" s="86"/>
      <c r="AU151" s="86"/>
      <c r="AV151" s="86"/>
    </row>
    <row r="152" spans="1:48">
      <c r="A152" s="86"/>
      <c r="B152" s="86"/>
      <c r="C152" s="86"/>
      <c r="D152" s="86"/>
      <c r="E152" s="86"/>
      <c r="F152" s="86"/>
      <c r="G152" s="86"/>
      <c r="H152" s="86"/>
      <c r="I152" s="86"/>
      <c r="J152" s="86"/>
      <c r="K152" s="86"/>
      <c r="L152" s="86"/>
      <c r="M152" s="86"/>
      <c r="N152" s="86"/>
      <c r="O152" s="86"/>
      <c r="P152" s="86"/>
      <c r="Q152" s="86"/>
      <c r="R152" s="86"/>
      <c r="S152" s="86"/>
      <c r="T152" s="106"/>
      <c r="U152" s="86"/>
      <c r="V152" s="86"/>
      <c r="W152" s="86"/>
      <c r="X152" s="86"/>
      <c r="Y152" s="86"/>
      <c r="Z152" s="86"/>
      <c r="AA152" s="86"/>
      <c r="AB152" s="86"/>
      <c r="AC152" s="86"/>
      <c r="AD152" s="86"/>
      <c r="AE152" s="86"/>
      <c r="AF152" s="512"/>
      <c r="AG152" s="86"/>
      <c r="AH152" s="86"/>
      <c r="AI152" s="86"/>
      <c r="AJ152" s="86"/>
      <c r="AK152" s="86"/>
      <c r="AL152" s="86"/>
      <c r="AM152" s="86"/>
      <c r="AN152" s="86"/>
      <c r="AO152" s="86"/>
      <c r="AP152" s="86"/>
      <c r="AQ152" s="86"/>
      <c r="AR152" s="86"/>
      <c r="AS152" s="86"/>
      <c r="AT152" s="86"/>
      <c r="AU152" s="86"/>
      <c r="AV152" s="86"/>
    </row>
    <row r="153" spans="1:48">
      <c r="A153" s="86"/>
      <c r="B153" s="86"/>
      <c r="C153" s="86"/>
      <c r="D153" s="86"/>
      <c r="E153" s="86"/>
      <c r="F153" s="86"/>
      <c r="G153" s="86"/>
      <c r="H153" s="86"/>
      <c r="I153" s="86"/>
      <c r="J153" s="86"/>
      <c r="K153" s="86"/>
      <c r="L153" s="86"/>
      <c r="M153" s="86"/>
      <c r="N153" s="86"/>
      <c r="O153" s="86"/>
      <c r="P153" s="86"/>
      <c r="Q153" s="86"/>
      <c r="R153" s="86"/>
      <c r="S153" s="86"/>
      <c r="T153" s="106"/>
      <c r="U153" s="86"/>
      <c r="V153" s="86"/>
      <c r="W153" s="86"/>
      <c r="X153" s="86"/>
      <c r="Y153" s="86"/>
      <c r="Z153" s="86"/>
      <c r="AA153" s="86"/>
      <c r="AB153" s="86"/>
      <c r="AC153" s="86"/>
      <c r="AD153" s="86"/>
      <c r="AE153" s="86"/>
      <c r="AF153" s="512"/>
      <c r="AG153" s="86"/>
      <c r="AH153" s="86"/>
      <c r="AI153" s="86"/>
      <c r="AJ153" s="86"/>
      <c r="AK153" s="86"/>
      <c r="AL153" s="86"/>
      <c r="AM153" s="86"/>
      <c r="AN153" s="86"/>
      <c r="AO153" s="86"/>
      <c r="AP153" s="86"/>
      <c r="AQ153" s="86"/>
      <c r="AR153" s="86"/>
      <c r="AS153" s="86"/>
      <c r="AT153" s="86"/>
      <c r="AU153" s="86"/>
      <c r="AV153" s="86"/>
    </row>
    <row r="154" spans="1:48">
      <c r="A154" s="86"/>
      <c r="B154" s="86"/>
      <c r="C154" s="86"/>
      <c r="D154" s="86"/>
      <c r="E154" s="86"/>
      <c r="F154" s="86"/>
      <c r="G154" s="86"/>
      <c r="H154" s="86"/>
      <c r="I154" s="86"/>
      <c r="J154" s="86"/>
      <c r="K154" s="86"/>
      <c r="L154" s="86"/>
      <c r="M154" s="86"/>
      <c r="N154" s="86"/>
      <c r="O154" s="86"/>
      <c r="P154" s="86"/>
      <c r="Q154" s="86"/>
      <c r="R154" s="86"/>
      <c r="S154" s="86"/>
      <c r="T154" s="106"/>
      <c r="U154" s="86"/>
      <c r="V154" s="86"/>
      <c r="W154" s="86"/>
      <c r="X154" s="86"/>
      <c r="Y154" s="86"/>
      <c r="Z154" s="86"/>
      <c r="AA154" s="86"/>
      <c r="AB154" s="86"/>
      <c r="AC154" s="86"/>
      <c r="AD154" s="86"/>
      <c r="AE154" s="86"/>
      <c r="AF154" s="512"/>
      <c r="AG154" s="86"/>
      <c r="AH154" s="86"/>
      <c r="AI154" s="86"/>
      <c r="AJ154" s="86"/>
      <c r="AK154" s="86"/>
      <c r="AL154" s="86"/>
      <c r="AM154" s="86"/>
      <c r="AN154" s="86"/>
      <c r="AO154" s="86"/>
      <c r="AP154" s="86"/>
      <c r="AQ154" s="86"/>
      <c r="AR154" s="86"/>
      <c r="AS154" s="86"/>
      <c r="AT154" s="86"/>
      <c r="AU154" s="86"/>
      <c r="AV154" s="86"/>
    </row>
    <row r="155" spans="1:48">
      <c r="A155" s="86"/>
      <c r="B155" s="86"/>
      <c r="C155" s="86"/>
      <c r="D155" s="86"/>
      <c r="E155" s="86"/>
      <c r="F155" s="86"/>
      <c r="G155" s="86"/>
      <c r="H155" s="86"/>
      <c r="I155" s="86"/>
      <c r="J155" s="86"/>
      <c r="K155" s="86"/>
      <c r="L155" s="86"/>
      <c r="M155" s="86"/>
      <c r="N155" s="86"/>
      <c r="O155" s="86"/>
      <c r="P155" s="86"/>
      <c r="Q155" s="86"/>
      <c r="R155" s="86"/>
      <c r="S155" s="86"/>
      <c r="T155" s="106"/>
      <c r="U155" s="86"/>
      <c r="V155" s="86"/>
      <c r="W155" s="86"/>
      <c r="X155" s="86"/>
      <c r="Y155" s="86"/>
      <c r="Z155" s="86"/>
      <c r="AA155" s="86"/>
      <c r="AB155" s="86"/>
      <c r="AC155" s="86"/>
      <c r="AD155" s="86"/>
      <c r="AE155" s="86"/>
      <c r="AF155" s="512"/>
      <c r="AG155" s="86"/>
      <c r="AH155" s="86"/>
      <c r="AI155" s="86"/>
      <c r="AJ155" s="86"/>
      <c r="AK155" s="86"/>
      <c r="AL155" s="86"/>
      <c r="AM155" s="86"/>
      <c r="AN155" s="86"/>
      <c r="AO155" s="86"/>
      <c r="AP155" s="86"/>
      <c r="AQ155" s="86"/>
      <c r="AR155" s="86"/>
      <c r="AS155" s="86"/>
      <c r="AT155" s="86"/>
      <c r="AU155" s="86"/>
      <c r="AV155" s="86"/>
    </row>
    <row r="156" spans="1:48">
      <c r="A156" s="86"/>
      <c r="B156" s="86"/>
      <c r="C156" s="86"/>
      <c r="D156" s="86"/>
      <c r="E156" s="86"/>
      <c r="F156" s="86"/>
      <c r="G156" s="86"/>
      <c r="H156" s="86"/>
      <c r="I156" s="86"/>
      <c r="J156" s="86"/>
      <c r="K156" s="86"/>
      <c r="L156" s="86"/>
      <c r="M156" s="86"/>
      <c r="N156" s="86"/>
      <c r="O156" s="86"/>
      <c r="P156" s="86"/>
      <c r="Q156" s="86"/>
      <c r="R156" s="86"/>
      <c r="S156" s="86"/>
      <c r="T156" s="106"/>
      <c r="U156" s="86"/>
      <c r="V156" s="86"/>
      <c r="W156" s="86"/>
      <c r="X156" s="86"/>
      <c r="Y156" s="86"/>
      <c r="Z156" s="86"/>
      <c r="AA156" s="86"/>
      <c r="AB156" s="86"/>
      <c r="AC156" s="86"/>
      <c r="AD156" s="86"/>
      <c r="AE156" s="86"/>
      <c r="AF156" s="512"/>
      <c r="AG156" s="86"/>
      <c r="AH156" s="86"/>
      <c r="AI156" s="86"/>
      <c r="AJ156" s="86"/>
      <c r="AK156" s="86"/>
      <c r="AL156" s="86"/>
      <c r="AM156" s="86"/>
      <c r="AN156" s="86"/>
      <c r="AO156" s="86"/>
      <c r="AP156" s="86"/>
      <c r="AQ156" s="86"/>
      <c r="AR156" s="86"/>
      <c r="AS156" s="86"/>
      <c r="AT156" s="86"/>
      <c r="AU156" s="86"/>
      <c r="AV156" s="86"/>
    </row>
    <row r="157" spans="1:48">
      <c r="A157" s="86"/>
      <c r="B157" s="86"/>
      <c r="C157" s="86"/>
      <c r="D157" s="86"/>
      <c r="E157" s="86"/>
      <c r="F157" s="86"/>
      <c r="G157" s="86"/>
      <c r="H157" s="86"/>
      <c r="I157" s="86"/>
      <c r="J157" s="86"/>
      <c r="K157" s="86"/>
      <c r="L157" s="86"/>
      <c r="M157" s="86"/>
      <c r="N157" s="86"/>
      <c r="O157" s="86"/>
      <c r="P157" s="86"/>
      <c r="Q157" s="86"/>
      <c r="R157" s="86"/>
      <c r="S157" s="86"/>
      <c r="T157" s="106"/>
      <c r="U157" s="86"/>
      <c r="V157" s="86"/>
      <c r="W157" s="86"/>
      <c r="X157" s="86"/>
      <c r="Y157" s="86"/>
      <c r="Z157" s="86"/>
      <c r="AA157" s="86"/>
      <c r="AB157" s="86"/>
      <c r="AC157" s="86"/>
      <c r="AD157" s="86"/>
      <c r="AE157" s="86"/>
      <c r="AF157" s="512"/>
      <c r="AG157" s="86"/>
      <c r="AH157" s="86"/>
      <c r="AI157" s="86"/>
      <c r="AJ157" s="86"/>
      <c r="AK157" s="86"/>
      <c r="AL157" s="86"/>
      <c r="AM157" s="86"/>
      <c r="AN157" s="86"/>
      <c r="AO157" s="86"/>
      <c r="AP157" s="86"/>
      <c r="AQ157" s="86"/>
      <c r="AR157" s="86"/>
      <c r="AS157" s="86"/>
      <c r="AT157" s="86"/>
      <c r="AU157" s="86"/>
      <c r="AV157" s="86"/>
    </row>
    <row r="158" spans="1:48">
      <c r="A158" s="86"/>
      <c r="B158" s="86"/>
      <c r="C158" s="86"/>
      <c r="D158" s="86"/>
      <c r="E158" s="86"/>
      <c r="F158" s="86"/>
      <c r="G158" s="86"/>
      <c r="H158" s="86"/>
      <c r="I158" s="86"/>
      <c r="J158" s="86"/>
      <c r="K158" s="86"/>
      <c r="L158" s="86"/>
      <c r="M158" s="86"/>
      <c r="N158" s="86"/>
      <c r="O158" s="86"/>
      <c r="P158" s="86"/>
      <c r="Q158" s="86"/>
      <c r="R158" s="86"/>
      <c r="S158" s="86"/>
      <c r="T158" s="106"/>
      <c r="U158" s="86"/>
      <c r="V158" s="86"/>
      <c r="W158" s="86"/>
      <c r="X158" s="86"/>
      <c r="Y158" s="86"/>
      <c r="Z158" s="86"/>
      <c r="AA158" s="86"/>
      <c r="AB158" s="86"/>
      <c r="AC158" s="86"/>
      <c r="AD158" s="86"/>
      <c r="AE158" s="86"/>
      <c r="AF158" s="512"/>
      <c r="AG158" s="86"/>
      <c r="AH158" s="86"/>
      <c r="AI158" s="86"/>
      <c r="AJ158" s="86"/>
      <c r="AK158" s="86"/>
      <c r="AL158" s="86"/>
      <c r="AM158" s="86"/>
      <c r="AN158" s="86"/>
      <c r="AO158" s="86"/>
      <c r="AP158" s="86"/>
      <c r="AQ158" s="86"/>
      <c r="AR158" s="86"/>
      <c r="AS158" s="86"/>
      <c r="AT158" s="86"/>
      <c r="AU158" s="86"/>
      <c r="AV158" s="86"/>
    </row>
    <row r="159" spans="1:48">
      <c r="A159" s="86"/>
      <c r="B159" s="86"/>
      <c r="C159" s="86"/>
      <c r="D159" s="86"/>
      <c r="E159" s="86"/>
      <c r="F159" s="86"/>
      <c r="G159" s="86"/>
      <c r="H159" s="86"/>
      <c r="I159" s="86"/>
      <c r="J159" s="86"/>
      <c r="K159" s="86"/>
      <c r="L159" s="86"/>
      <c r="M159" s="86"/>
      <c r="N159" s="86"/>
      <c r="O159" s="86"/>
      <c r="P159" s="86"/>
      <c r="Q159" s="86"/>
      <c r="R159" s="86"/>
      <c r="S159" s="86"/>
      <c r="T159" s="106"/>
      <c r="U159" s="86"/>
      <c r="V159" s="86"/>
      <c r="W159" s="86"/>
      <c r="X159" s="86"/>
      <c r="Y159" s="86"/>
      <c r="Z159" s="86"/>
      <c r="AA159" s="86"/>
      <c r="AB159" s="86"/>
      <c r="AC159" s="86"/>
      <c r="AD159" s="86"/>
      <c r="AE159" s="86"/>
      <c r="AF159" s="512"/>
      <c r="AG159" s="86"/>
      <c r="AH159" s="86"/>
      <c r="AI159" s="86"/>
      <c r="AJ159" s="86"/>
      <c r="AK159" s="86"/>
      <c r="AL159" s="86"/>
      <c r="AM159" s="86"/>
      <c r="AN159" s="86"/>
      <c r="AO159" s="86"/>
      <c r="AP159" s="86"/>
      <c r="AQ159" s="86"/>
      <c r="AR159" s="86"/>
      <c r="AS159" s="86"/>
      <c r="AT159" s="86"/>
      <c r="AU159" s="86"/>
      <c r="AV159" s="86"/>
    </row>
    <row r="160" spans="1:48">
      <c r="A160" s="86"/>
      <c r="B160" s="86"/>
      <c r="C160" s="86"/>
      <c r="D160" s="86"/>
      <c r="E160" s="86"/>
      <c r="F160" s="86"/>
      <c r="G160" s="86"/>
      <c r="H160" s="86"/>
      <c r="I160" s="86"/>
      <c r="J160" s="86"/>
      <c r="K160" s="86"/>
      <c r="L160" s="86"/>
      <c r="M160" s="86"/>
      <c r="N160" s="86"/>
      <c r="O160" s="86"/>
      <c r="P160" s="86"/>
      <c r="Q160" s="86"/>
      <c r="R160" s="86"/>
      <c r="S160" s="86"/>
      <c r="T160" s="106"/>
      <c r="U160" s="86"/>
      <c r="V160" s="86"/>
      <c r="W160" s="86"/>
      <c r="X160" s="86"/>
      <c r="Y160" s="86"/>
      <c r="Z160" s="86"/>
      <c r="AA160" s="86"/>
      <c r="AB160" s="86"/>
      <c r="AC160" s="86"/>
      <c r="AD160" s="86"/>
      <c r="AE160" s="86"/>
      <c r="AF160" s="512"/>
      <c r="AG160" s="86"/>
      <c r="AH160" s="86"/>
      <c r="AI160" s="86"/>
      <c r="AJ160" s="86"/>
      <c r="AK160" s="86"/>
      <c r="AL160" s="86"/>
      <c r="AM160" s="86"/>
      <c r="AN160" s="86"/>
      <c r="AO160" s="86"/>
      <c r="AP160" s="86"/>
      <c r="AQ160" s="86"/>
      <c r="AR160" s="86"/>
      <c r="AS160" s="86"/>
      <c r="AT160" s="86"/>
      <c r="AU160" s="86"/>
      <c r="AV160" s="86"/>
    </row>
    <row r="161" spans="1:48">
      <c r="A161" s="86"/>
      <c r="B161" s="86"/>
      <c r="C161" s="86"/>
      <c r="D161" s="86"/>
      <c r="E161" s="86"/>
      <c r="F161" s="86"/>
      <c r="G161" s="86"/>
      <c r="H161" s="86"/>
      <c r="I161" s="86"/>
      <c r="J161" s="86"/>
      <c r="K161" s="86"/>
      <c r="L161" s="86"/>
      <c r="M161" s="86"/>
      <c r="N161" s="86"/>
      <c r="O161" s="86"/>
      <c r="P161" s="86"/>
      <c r="Q161" s="86"/>
      <c r="R161" s="86"/>
      <c r="S161" s="86"/>
      <c r="T161" s="106"/>
      <c r="U161" s="86"/>
      <c r="V161" s="86"/>
      <c r="W161" s="86"/>
      <c r="X161" s="86"/>
      <c r="Y161" s="86"/>
      <c r="Z161" s="86"/>
      <c r="AA161" s="86"/>
      <c r="AB161" s="86"/>
      <c r="AC161" s="86"/>
      <c r="AD161" s="86"/>
      <c r="AE161" s="86"/>
      <c r="AF161" s="512"/>
      <c r="AG161" s="86"/>
      <c r="AH161" s="86"/>
      <c r="AI161" s="86"/>
      <c r="AJ161" s="86"/>
      <c r="AK161" s="86"/>
      <c r="AL161" s="86"/>
      <c r="AM161" s="86"/>
      <c r="AN161" s="86"/>
      <c r="AO161" s="86"/>
      <c r="AP161" s="86"/>
      <c r="AQ161" s="86"/>
      <c r="AR161" s="86"/>
      <c r="AS161" s="86"/>
      <c r="AT161" s="86"/>
      <c r="AU161" s="86"/>
      <c r="AV161" s="86"/>
    </row>
    <row r="162" spans="1:48">
      <c r="A162" s="86"/>
      <c r="B162" s="86"/>
      <c r="C162" s="86"/>
      <c r="D162" s="86"/>
      <c r="E162" s="86"/>
      <c r="F162" s="86"/>
      <c r="G162" s="86"/>
      <c r="H162" s="86"/>
      <c r="I162" s="86"/>
      <c r="J162" s="86"/>
      <c r="K162" s="86"/>
      <c r="L162" s="86"/>
      <c r="M162" s="86"/>
      <c r="N162" s="86"/>
      <c r="O162" s="86"/>
      <c r="P162" s="86"/>
      <c r="Q162" s="86"/>
      <c r="R162" s="86"/>
      <c r="S162" s="86"/>
      <c r="T162" s="106"/>
      <c r="U162" s="86"/>
      <c r="V162" s="86"/>
      <c r="W162" s="86"/>
      <c r="X162" s="86"/>
      <c r="Y162" s="86"/>
      <c r="Z162" s="86"/>
      <c r="AA162" s="86"/>
      <c r="AB162" s="86"/>
      <c r="AC162" s="86"/>
      <c r="AD162" s="86"/>
      <c r="AE162" s="86"/>
      <c r="AF162" s="512"/>
      <c r="AG162" s="86"/>
      <c r="AH162" s="86"/>
      <c r="AI162" s="86"/>
      <c r="AJ162" s="86"/>
      <c r="AK162" s="86"/>
      <c r="AL162" s="86"/>
      <c r="AM162" s="86"/>
      <c r="AN162" s="86"/>
      <c r="AO162" s="86"/>
      <c r="AP162" s="86"/>
      <c r="AQ162" s="86"/>
      <c r="AR162" s="86"/>
      <c r="AS162" s="86"/>
      <c r="AT162" s="86"/>
      <c r="AU162" s="86"/>
      <c r="AV162" s="86"/>
    </row>
    <row r="163" spans="1:48">
      <c r="A163" s="86"/>
      <c r="B163" s="86"/>
      <c r="C163" s="86"/>
      <c r="D163" s="86"/>
      <c r="E163" s="86"/>
      <c r="F163" s="86"/>
      <c r="G163" s="86"/>
      <c r="H163" s="86"/>
      <c r="I163" s="86"/>
      <c r="J163" s="86"/>
      <c r="K163" s="86"/>
      <c r="L163" s="86"/>
      <c r="M163" s="86"/>
      <c r="N163" s="86"/>
      <c r="O163" s="86"/>
      <c r="P163" s="86"/>
      <c r="Q163" s="86"/>
      <c r="R163" s="86"/>
      <c r="S163" s="86"/>
      <c r="T163" s="106"/>
      <c r="U163" s="86"/>
      <c r="V163" s="86"/>
      <c r="W163" s="86"/>
      <c r="X163" s="86"/>
      <c r="Y163" s="86"/>
      <c r="Z163" s="86"/>
      <c r="AA163" s="86"/>
      <c r="AB163" s="86"/>
      <c r="AC163" s="86"/>
      <c r="AD163" s="86"/>
      <c r="AE163" s="86"/>
      <c r="AF163" s="512"/>
      <c r="AG163" s="86"/>
      <c r="AH163" s="86"/>
      <c r="AI163" s="86"/>
      <c r="AJ163" s="86"/>
      <c r="AK163" s="86"/>
      <c r="AL163" s="86"/>
      <c r="AM163" s="86"/>
      <c r="AN163" s="86"/>
      <c r="AO163" s="86"/>
      <c r="AP163" s="86"/>
      <c r="AQ163" s="86"/>
      <c r="AR163" s="86"/>
      <c r="AS163" s="86"/>
      <c r="AT163" s="86"/>
      <c r="AU163" s="86"/>
      <c r="AV163" s="86"/>
    </row>
    <row r="164" spans="1:48">
      <c r="A164" s="86"/>
      <c r="B164" s="86"/>
      <c r="C164" s="86"/>
      <c r="D164" s="86"/>
      <c r="E164" s="86"/>
      <c r="F164" s="86"/>
      <c r="G164" s="86"/>
      <c r="H164" s="86"/>
      <c r="I164" s="86"/>
      <c r="J164" s="86"/>
      <c r="K164" s="86"/>
      <c r="L164" s="86"/>
      <c r="M164" s="86"/>
      <c r="N164" s="86"/>
      <c r="O164" s="86"/>
      <c r="P164" s="86"/>
      <c r="Q164" s="86"/>
      <c r="R164" s="86"/>
      <c r="S164" s="86"/>
      <c r="T164" s="106"/>
      <c r="U164" s="86"/>
      <c r="V164" s="86"/>
      <c r="W164" s="86"/>
      <c r="X164" s="86"/>
      <c r="Y164" s="86"/>
      <c r="Z164" s="86"/>
      <c r="AA164" s="86"/>
      <c r="AB164" s="86"/>
      <c r="AC164" s="86"/>
      <c r="AD164" s="86"/>
      <c r="AE164" s="86"/>
      <c r="AF164" s="512"/>
      <c r="AG164" s="86"/>
      <c r="AH164" s="86"/>
      <c r="AI164" s="86"/>
      <c r="AJ164" s="86"/>
      <c r="AK164" s="86"/>
      <c r="AL164" s="86"/>
      <c r="AM164" s="86"/>
      <c r="AN164" s="86"/>
      <c r="AO164" s="86"/>
      <c r="AP164" s="86"/>
      <c r="AQ164" s="86"/>
      <c r="AR164" s="86"/>
      <c r="AS164" s="86"/>
      <c r="AT164" s="86"/>
      <c r="AU164" s="86"/>
      <c r="AV164" s="86"/>
    </row>
    <row r="165" spans="1:48">
      <c r="A165" s="86"/>
      <c r="B165" s="86"/>
      <c r="C165" s="86"/>
      <c r="D165" s="86"/>
      <c r="E165" s="86"/>
      <c r="F165" s="86"/>
      <c r="G165" s="86"/>
      <c r="H165" s="86"/>
      <c r="I165" s="86"/>
      <c r="J165" s="86"/>
      <c r="K165" s="86"/>
      <c r="L165" s="86"/>
      <c r="M165" s="86"/>
      <c r="N165" s="86"/>
      <c r="O165" s="86"/>
      <c r="P165" s="86"/>
      <c r="Q165" s="86"/>
      <c r="R165" s="86"/>
      <c r="S165" s="86"/>
      <c r="T165" s="106"/>
      <c r="U165" s="86"/>
      <c r="V165" s="86"/>
      <c r="W165" s="86"/>
      <c r="X165" s="86"/>
      <c r="Y165" s="86"/>
      <c r="Z165" s="86"/>
      <c r="AA165" s="86"/>
      <c r="AB165" s="86"/>
      <c r="AC165" s="86"/>
      <c r="AD165" s="86"/>
      <c r="AE165" s="86"/>
      <c r="AF165" s="512"/>
      <c r="AG165" s="86"/>
      <c r="AH165" s="86"/>
      <c r="AI165" s="86"/>
      <c r="AJ165" s="86"/>
      <c r="AK165" s="86"/>
      <c r="AL165" s="86"/>
      <c r="AM165" s="86"/>
      <c r="AN165" s="86"/>
      <c r="AO165" s="86"/>
      <c r="AP165" s="86"/>
      <c r="AQ165" s="86"/>
      <c r="AR165" s="86"/>
      <c r="AS165" s="86"/>
      <c r="AT165" s="86"/>
      <c r="AU165" s="86"/>
      <c r="AV165" s="86"/>
    </row>
    <row r="166" spans="1:48">
      <c r="A166" s="86"/>
      <c r="B166" s="86"/>
      <c r="C166" s="86"/>
      <c r="D166" s="86"/>
      <c r="E166" s="86"/>
      <c r="F166" s="86"/>
      <c r="G166" s="86"/>
      <c r="H166" s="86"/>
      <c r="I166" s="86"/>
      <c r="J166" s="86"/>
      <c r="K166" s="86"/>
      <c r="L166" s="86"/>
      <c r="M166" s="86"/>
      <c r="N166" s="86"/>
      <c r="O166" s="86"/>
      <c r="P166" s="86"/>
      <c r="Q166" s="86"/>
      <c r="R166" s="86"/>
      <c r="S166" s="86"/>
      <c r="T166" s="106"/>
      <c r="U166" s="86"/>
      <c r="V166" s="86"/>
      <c r="W166" s="86"/>
      <c r="X166" s="86"/>
      <c r="Y166" s="86"/>
      <c r="Z166" s="86"/>
      <c r="AA166" s="86"/>
      <c r="AB166" s="86"/>
      <c r="AC166" s="86"/>
      <c r="AD166" s="86"/>
      <c r="AE166" s="86"/>
      <c r="AF166" s="512"/>
      <c r="AG166" s="86"/>
      <c r="AH166" s="86"/>
      <c r="AI166" s="86"/>
      <c r="AJ166" s="86"/>
      <c r="AK166" s="86"/>
      <c r="AL166" s="86"/>
      <c r="AM166" s="86"/>
      <c r="AN166" s="86"/>
      <c r="AO166" s="86"/>
      <c r="AP166" s="86"/>
      <c r="AQ166" s="86"/>
      <c r="AR166" s="86"/>
      <c r="AS166" s="86"/>
      <c r="AT166" s="86"/>
      <c r="AU166" s="86"/>
      <c r="AV166" s="86"/>
    </row>
    <row r="167" spans="1:48">
      <c r="A167" s="86"/>
      <c r="B167" s="86"/>
      <c r="C167" s="86"/>
      <c r="D167" s="86"/>
      <c r="E167" s="86"/>
      <c r="F167" s="86"/>
      <c r="G167" s="86"/>
      <c r="H167" s="86"/>
      <c r="I167" s="86"/>
      <c r="J167" s="86"/>
      <c r="K167" s="86"/>
      <c r="L167" s="86"/>
      <c r="M167" s="86"/>
      <c r="N167" s="86"/>
      <c r="O167" s="86"/>
      <c r="P167" s="86"/>
      <c r="Q167" s="86"/>
      <c r="R167" s="86"/>
      <c r="S167" s="86"/>
      <c r="T167" s="106"/>
      <c r="U167" s="86"/>
      <c r="V167" s="86"/>
      <c r="W167" s="86"/>
      <c r="X167" s="86"/>
      <c r="Y167" s="86"/>
      <c r="Z167" s="86"/>
      <c r="AA167" s="86"/>
      <c r="AB167" s="86"/>
      <c r="AC167" s="86"/>
      <c r="AD167" s="86"/>
      <c r="AE167" s="86"/>
      <c r="AF167" s="512"/>
      <c r="AG167" s="86"/>
      <c r="AH167" s="86"/>
      <c r="AI167" s="86"/>
      <c r="AJ167" s="86"/>
      <c r="AK167" s="86"/>
      <c r="AL167" s="86"/>
      <c r="AM167" s="86"/>
      <c r="AN167" s="86"/>
      <c r="AO167" s="86"/>
      <c r="AP167" s="86"/>
      <c r="AQ167" s="86"/>
      <c r="AR167" s="86"/>
      <c r="AS167" s="86"/>
      <c r="AT167" s="86"/>
      <c r="AU167" s="86"/>
      <c r="AV167" s="86"/>
    </row>
    <row r="168" spans="1:48">
      <c r="A168" s="86"/>
      <c r="B168" s="86"/>
      <c r="C168" s="86"/>
      <c r="D168" s="86"/>
      <c r="E168" s="86"/>
      <c r="F168" s="86"/>
      <c r="G168" s="86"/>
      <c r="H168" s="86"/>
      <c r="I168" s="86"/>
      <c r="J168" s="86"/>
      <c r="K168" s="86"/>
      <c r="L168" s="86"/>
      <c r="M168" s="86"/>
      <c r="N168" s="86"/>
      <c r="O168" s="86"/>
      <c r="P168" s="86"/>
      <c r="Q168" s="86"/>
      <c r="R168" s="86"/>
      <c r="S168" s="86"/>
      <c r="T168" s="106"/>
      <c r="U168" s="86"/>
      <c r="V168" s="86"/>
      <c r="W168" s="86"/>
      <c r="X168" s="86"/>
      <c r="Y168" s="86"/>
      <c r="Z168" s="86"/>
      <c r="AA168" s="86"/>
      <c r="AB168" s="86"/>
      <c r="AC168" s="86"/>
      <c r="AD168" s="86"/>
      <c r="AE168" s="86"/>
      <c r="AF168" s="512"/>
      <c r="AG168" s="86"/>
      <c r="AH168" s="86"/>
      <c r="AI168" s="86"/>
      <c r="AJ168" s="86"/>
      <c r="AK168" s="86"/>
      <c r="AL168" s="86"/>
      <c r="AM168" s="86"/>
      <c r="AN168" s="86"/>
      <c r="AO168" s="86"/>
      <c r="AP168" s="86"/>
      <c r="AQ168" s="86"/>
      <c r="AR168" s="86"/>
      <c r="AS168" s="86"/>
      <c r="AT168" s="86"/>
      <c r="AU168" s="86"/>
      <c r="AV168" s="86"/>
    </row>
    <row r="169" spans="1:48">
      <c r="A169" s="86"/>
      <c r="B169" s="86"/>
      <c r="C169" s="86"/>
      <c r="D169" s="86"/>
      <c r="E169" s="86"/>
      <c r="F169" s="86"/>
      <c r="G169" s="86"/>
      <c r="H169" s="86"/>
      <c r="I169" s="86"/>
      <c r="J169" s="86"/>
      <c r="K169" s="86"/>
      <c r="L169" s="86"/>
      <c r="M169" s="86"/>
      <c r="N169" s="86"/>
      <c r="O169" s="86"/>
      <c r="P169" s="86"/>
      <c r="Q169" s="86"/>
      <c r="R169" s="86"/>
      <c r="S169" s="86"/>
      <c r="T169" s="106"/>
      <c r="U169" s="86"/>
      <c r="V169" s="86"/>
      <c r="W169" s="86"/>
      <c r="X169" s="86"/>
      <c r="Y169" s="86"/>
      <c r="Z169" s="86"/>
      <c r="AA169" s="86"/>
      <c r="AB169" s="86"/>
      <c r="AC169" s="86"/>
      <c r="AD169" s="86"/>
      <c r="AE169" s="86"/>
      <c r="AF169" s="512"/>
      <c r="AG169" s="86"/>
      <c r="AH169" s="86"/>
      <c r="AI169" s="86"/>
      <c r="AJ169" s="86"/>
      <c r="AK169" s="86"/>
      <c r="AL169" s="86"/>
      <c r="AM169" s="86"/>
      <c r="AN169" s="86"/>
      <c r="AO169" s="86"/>
      <c r="AP169" s="86"/>
      <c r="AQ169" s="86"/>
      <c r="AR169" s="86"/>
      <c r="AS169" s="86"/>
      <c r="AT169" s="86"/>
      <c r="AU169" s="86"/>
      <c r="AV169" s="86"/>
    </row>
    <row r="170" spans="1:48">
      <c r="A170" s="86"/>
      <c r="B170" s="86"/>
      <c r="C170" s="86"/>
      <c r="D170" s="86"/>
      <c r="E170" s="86"/>
      <c r="F170" s="86"/>
      <c r="G170" s="86"/>
      <c r="H170" s="86"/>
      <c r="I170" s="86"/>
      <c r="J170" s="86"/>
      <c r="K170" s="86"/>
      <c r="L170" s="86"/>
      <c r="M170" s="86"/>
      <c r="N170" s="86"/>
      <c r="O170" s="86"/>
      <c r="P170" s="86"/>
      <c r="Q170" s="86"/>
      <c r="R170" s="86"/>
      <c r="S170" s="86"/>
      <c r="T170" s="106"/>
      <c r="U170" s="86"/>
      <c r="V170" s="86"/>
      <c r="W170" s="86"/>
      <c r="X170" s="86"/>
      <c r="Y170" s="86"/>
      <c r="Z170" s="86"/>
      <c r="AA170" s="86"/>
      <c r="AB170" s="86"/>
      <c r="AC170" s="86"/>
      <c r="AD170" s="86"/>
      <c r="AE170" s="86"/>
      <c r="AF170" s="512"/>
      <c r="AG170" s="86"/>
      <c r="AH170" s="86"/>
      <c r="AI170" s="86"/>
      <c r="AJ170" s="86"/>
      <c r="AK170" s="86"/>
      <c r="AL170" s="86"/>
      <c r="AM170" s="86"/>
      <c r="AN170" s="86"/>
      <c r="AO170" s="86"/>
      <c r="AP170" s="86"/>
      <c r="AQ170" s="86"/>
      <c r="AR170" s="86"/>
      <c r="AS170" s="86"/>
      <c r="AT170" s="86"/>
      <c r="AU170" s="86"/>
      <c r="AV170" s="86"/>
    </row>
    <row r="171" spans="1:48">
      <c r="A171" s="86"/>
      <c r="B171" s="86"/>
      <c r="C171" s="86"/>
      <c r="D171" s="86"/>
      <c r="E171" s="86"/>
      <c r="F171" s="86"/>
      <c r="G171" s="86"/>
      <c r="H171" s="86"/>
      <c r="I171" s="86"/>
      <c r="J171" s="86"/>
      <c r="K171" s="86"/>
      <c r="L171" s="86"/>
      <c r="M171" s="86"/>
      <c r="N171" s="86"/>
      <c r="O171" s="86"/>
      <c r="P171" s="86"/>
      <c r="Q171" s="86"/>
      <c r="R171" s="86"/>
      <c r="S171" s="86"/>
      <c r="T171" s="106"/>
      <c r="U171" s="86"/>
      <c r="V171" s="86"/>
      <c r="W171" s="86"/>
      <c r="X171" s="86"/>
      <c r="Y171" s="86"/>
      <c r="Z171" s="86"/>
      <c r="AA171" s="86"/>
      <c r="AB171" s="86"/>
      <c r="AC171" s="86"/>
      <c r="AD171" s="86"/>
      <c r="AE171" s="86"/>
      <c r="AF171" s="512"/>
      <c r="AG171" s="86"/>
      <c r="AH171" s="86"/>
      <c r="AI171" s="86"/>
      <c r="AJ171" s="86"/>
      <c r="AK171" s="86"/>
      <c r="AL171" s="86"/>
      <c r="AM171" s="86"/>
      <c r="AN171" s="86"/>
      <c r="AO171" s="86"/>
      <c r="AP171" s="86"/>
      <c r="AQ171" s="86"/>
      <c r="AR171" s="86"/>
      <c r="AS171" s="86"/>
      <c r="AT171" s="86"/>
      <c r="AU171" s="86"/>
      <c r="AV171" s="86"/>
    </row>
    <row r="172" spans="1:48">
      <c r="A172" s="86"/>
      <c r="B172" s="86"/>
      <c r="C172" s="86"/>
      <c r="D172" s="86"/>
      <c r="E172" s="86"/>
      <c r="F172" s="86"/>
      <c r="G172" s="86"/>
      <c r="H172" s="86"/>
      <c r="I172" s="86"/>
      <c r="J172" s="86"/>
      <c r="K172" s="86"/>
      <c r="L172" s="86"/>
      <c r="M172" s="86"/>
      <c r="N172" s="86"/>
      <c r="O172" s="86"/>
      <c r="P172" s="86"/>
      <c r="Q172" s="86"/>
      <c r="R172" s="86"/>
      <c r="S172" s="86"/>
      <c r="T172" s="106"/>
      <c r="U172" s="86"/>
      <c r="V172" s="86"/>
      <c r="W172" s="86"/>
      <c r="X172" s="86"/>
      <c r="Y172" s="86"/>
      <c r="Z172" s="86"/>
      <c r="AA172" s="86"/>
      <c r="AB172" s="86"/>
      <c r="AC172" s="86"/>
      <c r="AD172" s="86"/>
      <c r="AE172" s="86"/>
      <c r="AF172" s="512"/>
      <c r="AG172" s="86"/>
      <c r="AH172" s="86"/>
      <c r="AI172" s="86"/>
      <c r="AJ172" s="86"/>
      <c r="AK172" s="86"/>
      <c r="AL172" s="86"/>
      <c r="AM172" s="86"/>
      <c r="AN172" s="86"/>
      <c r="AO172" s="86"/>
      <c r="AP172" s="86"/>
      <c r="AQ172" s="86"/>
      <c r="AR172" s="86"/>
      <c r="AS172" s="86"/>
      <c r="AT172" s="86"/>
      <c r="AU172" s="86"/>
      <c r="AV172" s="86"/>
    </row>
    <row r="173" spans="1:48">
      <c r="A173" s="86"/>
      <c r="B173" s="86"/>
      <c r="C173" s="86"/>
      <c r="D173" s="86"/>
      <c r="E173" s="86"/>
      <c r="F173" s="86"/>
      <c r="G173" s="86"/>
      <c r="H173" s="86"/>
      <c r="I173" s="86"/>
      <c r="J173" s="86"/>
      <c r="K173" s="86"/>
      <c r="L173" s="86"/>
      <c r="M173" s="86"/>
      <c r="N173" s="86"/>
      <c r="O173" s="86"/>
      <c r="P173" s="86"/>
      <c r="Q173" s="86"/>
      <c r="R173" s="86"/>
      <c r="S173" s="86"/>
      <c r="T173" s="106"/>
      <c r="U173" s="86"/>
      <c r="V173" s="86"/>
      <c r="W173" s="86"/>
      <c r="X173" s="86"/>
      <c r="Y173" s="86"/>
      <c r="Z173" s="86"/>
      <c r="AA173" s="86"/>
      <c r="AB173" s="86"/>
      <c r="AC173" s="86"/>
      <c r="AD173" s="86"/>
      <c r="AE173" s="86"/>
      <c r="AF173" s="512"/>
      <c r="AG173" s="86"/>
      <c r="AH173" s="86"/>
      <c r="AI173" s="86"/>
      <c r="AJ173" s="86"/>
      <c r="AK173" s="86"/>
      <c r="AL173" s="86"/>
      <c r="AM173" s="86"/>
      <c r="AN173" s="86"/>
      <c r="AO173" s="86"/>
      <c r="AP173" s="86"/>
      <c r="AQ173" s="86"/>
      <c r="AR173" s="86"/>
      <c r="AS173" s="86"/>
      <c r="AT173" s="86"/>
      <c r="AU173" s="86"/>
      <c r="AV173" s="86"/>
    </row>
    <row r="174" spans="1:48">
      <c r="A174" s="86"/>
      <c r="B174" s="86"/>
      <c r="C174" s="86"/>
      <c r="D174" s="86"/>
      <c r="E174" s="86"/>
      <c r="F174" s="86"/>
      <c r="G174" s="86"/>
      <c r="H174" s="86"/>
      <c r="I174" s="86"/>
      <c r="J174" s="86"/>
      <c r="K174" s="86"/>
      <c r="L174" s="86"/>
      <c r="M174" s="86"/>
      <c r="N174" s="86"/>
      <c r="O174" s="86"/>
      <c r="P174" s="86"/>
      <c r="Q174" s="86"/>
      <c r="R174" s="86"/>
      <c r="S174" s="86"/>
      <c r="T174" s="106"/>
      <c r="U174" s="86"/>
      <c r="V174" s="86"/>
      <c r="W174" s="86"/>
      <c r="X174" s="86"/>
      <c r="Y174" s="86"/>
      <c r="Z174" s="86"/>
      <c r="AA174" s="86"/>
      <c r="AB174" s="86"/>
      <c r="AC174" s="86"/>
      <c r="AD174" s="86"/>
      <c r="AE174" s="86"/>
      <c r="AF174" s="512"/>
      <c r="AG174" s="86"/>
      <c r="AH174" s="86"/>
      <c r="AI174" s="86"/>
      <c r="AJ174" s="86"/>
      <c r="AK174" s="86"/>
      <c r="AL174" s="86"/>
      <c r="AM174" s="86"/>
      <c r="AN174" s="86"/>
      <c r="AO174" s="86"/>
      <c r="AP174" s="86"/>
      <c r="AQ174" s="86"/>
      <c r="AR174" s="86"/>
      <c r="AS174" s="86"/>
      <c r="AT174" s="86"/>
      <c r="AU174" s="86"/>
      <c r="AV174" s="86"/>
    </row>
    <row r="175" spans="1:48">
      <c r="A175" s="86"/>
      <c r="B175" s="86"/>
      <c r="C175" s="86"/>
      <c r="D175" s="86"/>
      <c r="E175" s="86"/>
      <c r="F175" s="86"/>
      <c r="G175" s="86"/>
      <c r="H175" s="86"/>
      <c r="I175" s="86"/>
      <c r="J175" s="86"/>
      <c r="K175" s="86"/>
      <c r="L175" s="86"/>
      <c r="M175" s="86"/>
      <c r="N175" s="86"/>
      <c r="O175" s="86"/>
      <c r="P175" s="86"/>
      <c r="Q175" s="86"/>
      <c r="R175" s="86"/>
      <c r="S175" s="86"/>
      <c r="T175" s="106"/>
      <c r="U175" s="86"/>
      <c r="V175" s="86"/>
      <c r="W175" s="86"/>
      <c r="X175" s="86"/>
      <c r="Y175" s="86"/>
      <c r="Z175" s="86"/>
      <c r="AA175" s="86"/>
      <c r="AB175" s="86"/>
      <c r="AC175" s="86"/>
      <c r="AD175" s="86"/>
      <c r="AE175" s="86"/>
      <c r="AF175" s="512"/>
      <c r="AG175" s="86"/>
      <c r="AH175" s="86"/>
      <c r="AI175" s="86"/>
      <c r="AJ175" s="86"/>
      <c r="AK175" s="86"/>
      <c r="AL175" s="86"/>
      <c r="AM175" s="86"/>
      <c r="AN175" s="86"/>
      <c r="AO175" s="86"/>
      <c r="AP175" s="86"/>
      <c r="AQ175" s="86"/>
      <c r="AR175" s="86"/>
      <c r="AS175" s="86"/>
      <c r="AT175" s="86"/>
      <c r="AU175" s="86"/>
      <c r="AV175" s="86"/>
    </row>
    <row r="176" spans="1:48">
      <c r="A176" s="86"/>
      <c r="B176" s="86"/>
      <c r="C176" s="86"/>
      <c r="D176" s="86"/>
      <c r="E176" s="86"/>
      <c r="F176" s="86"/>
      <c r="G176" s="86"/>
      <c r="H176" s="86"/>
      <c r="I176" s="86"/>
      <c r="J176" s="86"/>
      <c r="K176" s="86"/>
      <c r="L176" s="86"/>
      <c r="M176" s="86"/>
      <c r="N176" s="86"/>
      <c r="O176" s="86"/>
      <c r="P176" s="86"/>
      <c r="Q176" s="86"/>
      <c r="R176" s="86"/>
      <c r="S176" s="86"/>
      <c r="T176" s="106"/>
      <c r="U176" s="86"/>
      <c r="V176" s="86"/>
      <c r="W176" s="86"/>
      <c r="X176" s="86"/>
      <c r="Y176" s="86"/>
      <c r="Z176" s="86"/>
      <c r="AA176" s="86"/>
      <c r="AB176" s="86"/>
      <c r="AC176" s="86"/>
      <c r="AD176" s="86"/>
      <c r="AE176" s="86"/>
      <c r="AF176" s="512"/>
      <c r="AG176" s="86"/>
      <c r="AH176" s="86"/>
      <c r="AI176" s="86"/>
      <c r="AJ176" s="86"/>
      <c r="AK176" s="86"/>
      <c r="AL176" s="86"/>
      <c r="AM176" s="86"/>
      <c r="AN176" s="86"/>
      <c r="AO176" s="86"/>
      <c r="AP176" s="86"/>
      <c r="AQ176" s="86"/>
      <c r="AR176" s="86"/>
      <c r="AS176" s="86"/>
      <c r="AT176" s="86"/>
      <c r="AU176" s="86"/>
      <c r="AV176" s="86"/>
    </row>
    <row r="177" spans="1:48">
      <c r="A177" s="86"/>
      <c r="B177" s="86"/>
      <c r="C177" s="86"/>
      <c r="D177" s="86"/>
      <c r="E177" s="86"/>
      <c r="F177" s="86"/>
      <c r="G177" s="86"/>
      <c r="H177" s="86"/>
      <c r="I177" s="86"/>
      <c r="J177" s="86"/>
      <c r="K177" s="86"/>
      <c r="L177" s="86"/>
      <c r="M177" s="86"/>
      <c r="N177" s="86"/>
      <c r="O177" s="86"/>
      <c r="P177" s="86"/>
      <c r="Q177" s="86"/>
      <c r="R177" s="86"/>
      <c r="S177" s="86"/>
      <c r="T177" s="106"/>
      <c r="U177" s="86"/>
      <c r="V177" s="86"/>
      <c r="W177" s="86"/>
      <c r="X177" s="86"/>
      <c r="Y177" s="86"/>
      <c r="Z177" s="86"/>
      <c r="AA177" s="86"/>
      <c r="AB177" s="86"/>
      <c r="AC177" s="86"/>
      <c r="AD177" s="86"/>
      <c r="AE177" s="86"/>
      <c r="AF177" s="512"/>
      <c r="AG177" s="86"/>
      <c r="AH177" s="86"/>
      <c r="AI177" s="86"/>
      <c r="AJ177" s="86"/>
      <c r="AK177" s="86"/>
      <c r="AL177" s="86"/>
      <c r="AM177" s="86"/>
      <c r="AN177" s="86"/>
      <c r="AO177" s="86"/>
      <c r="AP177" s="86"/>
      <c r="AQ177" s="86"/>
      <c r="AR177" s="86"/>
      <c r="AS177" s="86"/>
      <c r="AT177" s="86"/>
      <c r="AU177" s="86"/>
      <c r="AV177" s="86"/>
    </row>
    <row r="178" spans="1:48">
      <c r="A178" s="86"/>
      <c r="B178" s="86"/>
      <c r="C178" s="86"/>
      <c r="D178" s="86"/>
      <c r="E178" s="86"/>
      <c r="F178" s="86"/>
      <c r="G178" s="86"/>
      <c r="H178" s="86"/>
      <c r="I178" s="86"/>
      <c r="J178" s="86"/>
      <c r="K178" s="86"/>
      <c r="L178" s="86"/>
      <c r="M178" s="86"/>
      <c r="N178" s="86"/>
      <c r="O178" s="86"/>
      <c r="P178" s="86"/>
      <c r="Q178" s="86"/>
      <c r="R178" s="86"/>
      <c r="S178" s="86"/>
      <c r="T178" s="106"/>
      <c r="U178" s="86"/>
      <c r="V178" s="86"/>
      <c r="W178" s="86"/>
      <c r="X178" s="86"/>
      <c r="Y178" s="86"/>
      <c r="Z178" s="86"/>
      <c r="AA178" s="86"/>
      <c r="AB178" s="86"/>
      <c r="AC178" s="86"/>
      <c r="AD178" s="86"/>
      <c r="AE178" s="86"/>
      <c r="AF178" s="512"/>
      <c r="AG178" s="86"/>
      <c r="AH178" s="86"/>
      <c r="AI178" s="86"/>
      <c r="AJ178" s="86"/>
      <c r="AK178" s="86"/>
      <c r="AL178" s="86"/>
      <c r="AM178" s="86"/>
      <c r="AN178" s="86"/>
      <c r="AO178" s="86"/>
      <c r="AP178" s="86"/>
      <c r="AQ178" s="86"/>
      <c r="AR178" s="86"/>
      <c r="AS178" s="86"/>
      <c r="AT178" s="86"/>
      <c r="AU178" s="86"/>
      <c r="AV178" s="86"/>
    </row>
    <row r="179" spans="1:48">
      <c r="A179" s="86"/>
      <c r="B179" s="86"/>
      <c r="C179" s="86"/>
      <c r="D179" s="86"/>
      <c r="E179" s="86"/>
      <c r="F179" s="86"/>
      <c r="G179" s="86"/>
      <c r="H179" s="86"/>
      <c r="I179" s="86"/>
      <c r="J179" s="86"/>
      <c r="K179" s="86"/>
      <c r="L179" s="86"/>
      <c r="M179" s="86"/>
      <c r="N179" s="86"/>
      <c r="O179" s="86"/>
      <c r="P179" s="86"/>
      <c r="Q179" s="86"/>
      <c r="R179" s="86"/>
      <c r="S179" s="86"/>
      <c r="T179" s="106"/>
      <c r="U179" s="86"/>
      <c r="V179" s="86"/>
      <c r="W179" s="86"/>
      <c r="X179" s="86"/>
      <c r="Y179" s="86"/>
      <c r="Z179" s="86"/>
      <c r="AA179" s="86"/>
      <c r="AB179" s="86"/>
      <c r="AC179" s="86"/>
      <c r="AD179" s="86"/>
      <c r="AE179" s="86"/>
      <c r="AF179" s="512"/>
      <c r="AG179" s="86"/>
      <c r="AH179" s="86"/>
      <c r="AI179" s="86"/>
      <c r="AJ179" s="86"/>
      <c r="AK179" s="86"/>
      <c r="AL179" s="86"/>
      <c r="AM179" s="86"/>
      <c r="AN179" s="86"/>
      <c r="AO179" s="86"/>
      <c r="AP179" s="86"/>
      <c r="AQ179" s="86"/>
      <c r="AR179" s="86"/>
      <c r="AS179" s="86"/>
      <c r="AT179" s="86"/>
      <c r="AU179" s="86"/>
      <c r="AV179" s="86"/>
    </row>
    <row r="180" spans="1:48">
      <c r="A180" s="86"/>
      <c r="B180" s="86"/>
      <c r="C180" s="86"/>
      <c r="D180" s="86"/>
      <c r="E180" s="86"/>
      <c r="F180" s="86"/>
      <c r="G180" s="86"/>
      <c r="H180" s="86"/>
      <c r="I180" s="86"/>
      <c r="J180" s="86"/>
      <c r="K180" s="86"/>
      <c r="L180" s="86"/>
      <c r="M180" s="86"/>
      <c r="N180" s="86"/>
      <c r="O180" s="86"/>
      <c r="P180" s="86"/>
      <c r="Q180" s="86"/>
      <c r="R180" s="86"/>
      <c r="S180" s="86"/>
      <c r="T180" s="106"/>
      <c r="U180" s="86"/>
      <c r="V180" s="86"/>
      <c r="W180" s="86"/>
      <c r="X180" s="86"/>
      <c r="Y180" s="86"/>
      <c r="Z180" s="86"/>
      <c r="AA180" s="86"/>
      <c r="AB180" s="86"/>
      <c r="AC180" s="86"/>
      <c r="AD180" s="86"/>
      <c r="AE180" s="86"/>
      <c r="AF180" s="512"/>
      <c r="AG180" s="86"/>
      <c r="AH180" s="86"/>
      <c r="AI180" s="86"/>
      <c r="AJ180" s="86"/>
      <c r="AK180" s="86"/>
      <c r="AL180" s="86"/>
      <c r="AM180" s="86"/>
      <c r="AN180" s="86"/>
      <c r="AO180" s="86"/>
      <c r="AP180" s="86"/>
      <c r="AQ180" s="86"/>
      <c r="AR180" s="86"/>
      <c r="AS180" s="86"/>
      <c r="AT180" s="86"/>
      <c r="AU180" s="86"/>
      <c r="AV180" s="86"/>
    </row>
    <row r="181" spans="1:48">
      <c r="A181" s="86"/>
      <c r="B181" s="86"/>
      <c r="C181" s="86"/>
      <c r="D181" s="86"/>
      <c r="E181" s="86"/>
      <c r="F181" s="86"/>
      <c r="G181" s="86"/>
      <c r="H181" s="86"/>
      <c r="I181" s="86"/>
      <c r="J181" s="86"/>
      <c r="K181" s="86"/>
      <c r="L181" s="86"/>
      <c r="M181" s="86"/>
      <c r="N181" s="86"/>
      <c r="O181" s="86"/>
      <c r="P181" s="86"/>
      <c r="Q181" s="86"/>
      <c r="R181" s="86"/>
      <c r="S181" s="86"/>
      <c r="T181" s="106"/>
      <c r="U181" s="86"/>
      <c r="V181" s="86"/>
      <c r="W181" s="86"/>
      <c r="X181" s="86"/>
      <c r="Y181" s="86"/>
      <c r="Z181" s="86"/>
      <c r="AA181" s="86"/>
      <c r="AB181" s="86"/>
      <c r="AC181" s="86"/>
      <c r="AD181" s="86"/>
      <c r="AE181" s="86"/>
      <c r="AF181" s="512"/>
      <c r="AG181" s="86"/>
      <c r="AH181" s="86"/>
      <c r="AI181" s="86"/>
      <c r="AJ181" s="86"/>
      <c r="AK181" s="86"/>
      <c r="AL181" s="86"/>
      <c r="AM181" s="86"/>
      <c r="AN181" s="86"/>
      <c r="AO181" s="86"/>
      <c r="AP181" s="86"/>
      <c r="AQ181" s="86"/>
      <c r="AR181" s="86"/>
      <c r="AS181" s="86"/>
      <c r="AT181" s="86"/>
      <c r="AU181" s="86"/>
      <c r="AV181" s="86"/>
    </row>
    <row r="182" spans="1:48">
      <c r="A182" s="86"/>
      <c r="B182" s="86"/>
      <c r="C182" s="86"/>
      <c r="D182" s="86"/>
      <c r="E182" s="86"/>
      <c r="F182" s="86"/>
      <c r="G182" s="86"/>
      <c r="H182" s="86"/>
      <c r="I182" s="86"/>
      <c r="J182" s="86"/>
      <c r="K182" s="86"/>
      <c r="L182" s="86"/>
      <c r="M182" s="86"/>
      <c r="N182" s="86"/>
      <c r="O182" s="86"/>
      <c r="P182" s="86"/>
      <c r="Q182" s="86"/>
      <c r="R182" s="86"/>
      <c r="S182" s="86"/>
      <c r="T182" s="106"/>
      <c r="U182" s="86"/>
      <c r="V182" s="86"/>
      <c r="W182" s="86"/>
      <c r="X182" s="86"/>
      <c r="Y182" s="86"/>
      <c r="Z182" s="86"/>
      <c r="AA182" s="86"/>
      <c r="AB182" s="86"/>
      <c r="AC182" s="86"/>
      <c r="AD182" s="86"/>
      <c r="AE182" s="86"/>
      <c r="AF182" s="512"/>
      <c r="AG182" s="86"/>
      <c r="AH182" s="86"/>
      <c r="AI182" s="86"/>
      <c r="AJ182" s="86"/>
      <c r="AK182" s="86"/>
      <c r="AL182" s="86"/>
      <c r="AM182" s="86"/>
      <c r="AN182" s="86"/>
      <c r="AO182" s="86"/>
      <c r="AP182" s="86"/>
      <c r="AQ182" s="86"/>
      <c r="AR182" s="86"/>
      <c r="AS182" s="86"/>
      <c r="AT182" s="86"/>
      <c r="AU182" s="86"/>
      <c r="AV182" s="86"/>
    </row>
    <row r="183" spans="1:48">
      <c r="A183" s="86"/>
      <c r="B183" s="86"/>
      <c r="C183" s="86"/>
      <c r="D183" s="86"/>
      <c r="E183" s="86"/>
      <c r="F183" s="86"/>
      <c r="G183" s="86"/>
      <c r="H183" s="86"/>
      <c r="I183" s="86"/>
      <c r="J183" s="86"/>
      <c r="K183" s="86"/>
      <c r="L183" s="86"/>
      <c r="M183" s="86"/>
      <c r="N183" s="86"/>
      <c r="O183" s="86"/>
      <c r="P183" s="86"/>
      <c r="Q183" s="86"/>
      <c r="R183" s="86"/>
      <c r="S183" s="86"/>
      <c r="T183" s="106"/>
      <c r="U183" s="86"/>
      <c r="V183" s="86"/>
      <c r="W183" s="86"/>
      <c r="X183" s="86"/>
      <c r="Y183" s="86"/>
      <c r="Z183" s="86"/>
      <c r="AA183" s="86"/>
      <c r="AB183" s="86"/>
      <c r="AC183" s="86"/>
      <c r="AD183" s="86"/>
      <c r="AE183" s="86"/>
      <c r="AF183" s="512"/>
      <c r="AG183" s="86"/>
      <c r="AH183" s="86"/>
      <c r="AI183" s="86"/>
      <c r="AJ183" s="86"/>
      <c r="AK183" s="86"/>
      <c r="AL183" s="86"/>
      <c r="AM183" s="86"/>
      <c r="AN183" s="86"/>
      <c r="AO183" s="86"/>
      <c r="AP183" s="86"/>
      <c r="AQ183" s="86"/>
      <c r="AR183" s="86"/>
      <c r="AS183" s="86"/>
      <c r="AT183" s="86"/>
      <c r="AU183" s="86"/>
      <c r="AV183" s="86"/>
    </row>
    <row r="184" spans="1:48">
      <c r="A184" s="86"/>
      <c r="B184" s="86"/>
      <c r="C184" s="86"/>
      <c r="D184" s="86"/>
      <c r="E184" s="86"/>
      <c r="F184" s="86"/>
      <c r="G184" s="86"/>
      <c r="H184" s="86"/>
      <c r="I184" s="86"/>
      <c r="J184" s="86"/>
      <c r="K184" s="86"/>
      <c r="L184" s="86"/>
      <c r="M184" s="86"/>
      <c r="N184" s="86"/>
      <c r="O184" s="86"/>
      <c r="P184" s="86"/>
      <c r="Q184" s="86"/>
      <c r="R184" s="86"/>
      <c r="S184" s="86"/>
      <c r="T184" s="106"/>
      <c r="U184" s="86"/>
      <c r="V184" s="86"/>
      <c r="W184" s="86"/>
      <c r="X184" s="86"/>
      <c r="Y184" s="86"/>
      <c r="Z184" s="86"/>
      <c r="AA184" s="86"/>
      <c r="AB184" s="86"/>
      <c r="AC184" s="86"/>
      <c r="AD184" s="86"/>
      <c r="AE184" s="86"/>
      <c r="AF184" s="512"/>
      <c r="AG184" s="86"/>
      <c r="AH184" s="86"/>
      <c r="AI184" s="86"/>
      <c r="AJ184" s="86"/>
      <c r="AK184" s="86"/>
      <c r="AL184" s="86"/>
      <c r="AM184" s="86"/>
      <c r="AN184" s="86"/>
      <c r="AO184" s="86"/>
      <c r="AP184" s="86"/>
      <c r="AQ184" s="86"/>
      <c r="AR184" s="86"/>
      <c r="AS184" s="86"/>
      <c r="AT184" s="86"/>
      <c r="AU184" s="86"/>
      <c r="AV184" s="86"/>
    </row>
    <row r="185" spans="1:48">
      <c r="A185" s="86"/>
      <c r="B185" s="86"/>
      <c r="C185" s="86"/>
      <c r="D185" s="86"/>
      <c r="E185" s="86"/>
      <c r="F185" s="86"/>
      <c r="G185" s="86"/>
      <c r="H185" s="86"/>
      <c r="I185" s="86"/>
      <c r="J185" s="86"/>
      <c r="K185" s="86"/>
      <c r="L185" s="86"/>
      <c r="M185" s="86"/>
      <c r="N185" s="86"/>
      <c r="O185" s="86"/>
      <c r="P185" s="86"/>
      <c r="Q185" s="86"/>
      <c r="R185" s="86"/>
      <c r="S185" s="86"/>
      <c r="T185" s="106"/>
      <c r="U185" s="86"/>
      <c r="V185" s="86"/>
      <c r="W185" s="86"/>
      <c r="X185" s="86"/>
      <c r="Y185" s="86"/>
      <c r="Z185" s="86"/>
      <c r="AA185" s="86"/>
      <c r="AB185" s="86"/>
      <c r="AC185" s="86"/>
      <c r="AD185" s="86"/>
      <c r="AE185" s="86"/>
      <c r="AF185" s="512"/>
      <c r="AG185" s="86"/>
      <c r="AH185" s="86"/>
      <c r="AI185" s="86"/>
      <c r="AJ185" s="86"/>
      <c r="AK185" s="86"/>
      <c r="AL185" s="86"/>
      <c r="AM185" s="86"/>
      <c r="AN185" s="86"/>
      <c r="AO185" s="86"/>
      <c r="AP185" s="86"/>
      <c r="AQ185" s="86"/>
      <c r="AR185" s="86"/>
      <c r="AS185" s="86"/>
      <c r="AT185" s="86"/>
      <c r="AU185" s="86"/>
      <c r="AV185" s="86"/>
    </row>
    <row r="186" spans="1:48">
      <c r="A186" s="86"/>
      <c r="B186" s="86"/>
      <c r="C186" s="86"/>
      <c r="D186" s="86"/>
      <c r="E186" s="86"/>
      <c r="F186" s="86"/>
      <c r="G186" s="86"/>
      <c r="H186" s="86"/>
      <c r="I186" s="86"/>
      <c r="J186" s="86"/>
      <c r="K186" s="86"/>
      <c r="L186" s="86"/>
      <c r="M186" s="86"/>
      <c r="N186" s="86"/>
      <c r="O186" s="86"/>
      <c r="P186" s="86"/>
      <c r="Q186" s="86"/>
      <c r="R186" s="86"/>
      <c r="S186" s="86"/>
      <c r="T186" s="106"/>
      <c r="U186" s="86"/>
      <c r="V186" s="86"/>
      <c r="W186" s="86"/>
      <c r="X186" s="86"/>
      <c r="Y186" s="86"/>
      <c r="Z186" s="86"/>
      <c r="AA186" s="86"/>
      <c r="AB186" s="86"/>
      <c r="AC186" s="86"/>
      <c r="AD186" s="86"/>
      <c r="AE186" s="86"/>
      <c r="AF186" s="512"/>
      <c r="AG186" s="86"/>
      <c r="AH186" s="86"/>
      <c r="AI186" s="86"/>
      <c r="AJ186" s="86"/>
      <c r="AK186" s="86"/>
      <c r="AL186" s="86"/>
      <c r="AM186" s="86"/>
      <c r="AN186" s="86"/>
      <c r="AO186" s="86"/>
      <c r="AP186" s="86"/>
      <c r="AQ186" s="86"/>
      <c r="AR186" s="86"/>
      <c r="AS186" s="86"/>
      <c r="AT186" s="86"/>
      <c r="AU186" s="86"/>
      <c r="AV186" s="86"/>
    </row>
    <row r="187" spans="1:48">
      <c r="A187" s="86"/>
      <c r="B187" s="86"/>
      <c r="C187" s="86"/>
      <c r="D187" s="86"/>
      <c r="E187" s="86"/>
      <c r="F187" s="86"/>
      <c r="G187" s="86"/>
      <c r="H187" s="86"/>
      <c r="I187" s="86"/>
      <c r="J187" s="86"/>
      <c r="K187" s="86"/>
      <c r="L187" s="86"/>
      <c r="M187" s="86"/>
      <c r="N187" s="86"/>
      <c r="O187" s="86"/>
      <c r="P187" s="86"/>
      <c r="Q187" s="86"/>
      <c r="R187" s="86"/>
      <c r="S187" s="86"/>
      <c r="T187" s="106"/>
      <c r="U187" s="86"/>
      <c r="V187" s="86"/>
      <c r="W187" s="86"/>
      <c r="X187" s="86"/>
      <c r="Y187" s="86"/>
      <c r="Z187" s="86"/>
      <c r="AA187" s="86"/>
      <c r="AB187" s="86"/>
      <c r="AC187" s="86"/>
      <c r="AD187" s="86"/>
      <c r="AE187" s="86"/>
      <c r="AF187" s="512"/>
      <c r="AG187" s="86"/>
      <c r="AH187" s="86"/>
      <c r="AI187" s="86"/>
      <c r="AJ187" s="86"/>
      <c r="AK187" s="86"/>
      <c r="AL187" s="86"/>
      <c r="AM187" s="86"/>
      <c r="AN187" s="86"/>
      <c r="AO187" s="86"/>
      <c r="AP187" s="86"/>
      <c r="AQ187" s="86"/>
      <c r="AR187" s="86"/>
      <c r="AS187" s="86"/>
      <c r="AT187" s="86"/>
      <c r="AU187" s="86"/>
      <c r="AV187" s="86"/>
    </row>
    <row r="188" spans="1:48">
      <c r="A188" s="86"/>
      <c r="B188" s="86"/>
      <c r="C188" s="86"/>
      <c r="D188" s="86"/>
      <c r="E188" s="86"/>
      <c r="F188" s="86"/>
      <c r="G188" s="86"/>
      <c r="H188" s="86"/>
      <c r="I188" s="86"/>
      <c r="J188" s="86"/>
      <c r="K188" s="86"/>
      <c r="L188" s="86"/>
      <c r="M188" s="86"/>
      <c r="N188" s="86"/>
      <c r="O188" s="86"/>
      <c r="P188" s="86"/>
      <c r="Q188" s="86"/>
      <c r="R188" s="86"/>
      <c r="S188" s="86"/>
      <c r="T188" s="106"/>
      <c r="U188" s="86"/>
      <c r="V188" s="86"/>
      <c r="W188" s="86"/>
      <c r="X188" s="86"/>
      <c r="Y188" s="86"/>
      <c r="Z188" s="86"/>
      <c r="AA188" s="86"/>
      <c r="AB188" s="86"/>
      <c r="AC188" s="86"/>
      <c r="AD188" s="86"/>
      <c r="AE188" s="86"/>
      <c r="AF188" s="512"/>
      <c r="AG188" s="86"/>
      <c r="AH188" s="86"/>
      <c r="AI188" s="86"/>
      <c r="AJ188" s="86"/>
      <c r="AK188" s="86"/>
      <c r="AL188" s="86"/>
      <c r="AM188" s="86"/>
      <c r="AN188" s="86"/>
      <c r="AO188" s="86"/>
      <c r="AP188" s="86"/>
      <c r="AQ188" s="86"/>
      <c r="AR188" s="86"/>
      <c r="AS188" s="86"/>
      <c r="AT188" s="86"/>
      <c r="AU188" s="86"/>
      <c r="AV188" s="86"/>
    </row>
    <row r="189" spans="1:48">
      <c r="A189" s="86"/>
      <c r="B189" s="86"/>
      <c r="C189" s="86"/>
      <c r="D189" s="86"/>
      <c r="E189" s="86"/>
      <c r="F189" s="86"/>
      <c r="G189" s="86"/>
      <c r="H189" s="86"/>
      <c r="I189" s="86"/>
      <c r="J189" s="86"/>
      <c r="K189" s="86"/>
      <c r="L189" s="86"/>
      <c r="M189" s="86"/>
      <c r="N189" s="86"/>
      <c r="O189" s="86"/>
      <c r="P189" s="86"/>
      <c r="Q189" s="86"/>
      <c r="R189" s="86"/>
      <c r="S189" s="86"/>
      <c r="T189" s="106"/>
      <c r="U189" s="86"/>
      <c r="V189" s="86"/>
      <c r="W189" s="86"/>
      <c r="X189" s="86"/>
      <c r="Y189" s="86"/>
      <c r="Z189" s="86"/>
      <c r="AA189" s="86"/>
      <c r="AB189" s="86"/>
      <c r="AC189" s="86"/>
      <c r="AD189" s="86"/>
      <c r="AE189" s="86"/>
      <c r="AF189" s="512"/>
      <c r="AG189" s="86"/>
      <c r="AH189" s="86"/>
      <c r="AI189" s="86"/>
      <c r="AJ189" s="86"/>
      <c r="AK189" s="86"/>
      <c r="AL189" s="86"/>
      <c r="AM189" s="86"/>
      <c r="AN189" s="86"/>
      <c r="AO189" s="86"/>
      <c r="AP189" s="86"/>
      <c r="AQ189" s="86"/>
      <c r="AR189" s="86"/>
      <c r="AS189" s="86"/>
      <c r="AT189" s="86"/>
      <c r="AU189" s="86"/>
      <c r="AV189" s="86"/>
    </row>
    <row r="190" spans="1:48">
      <c r="A190" s="86"/>
      <c r="B190" s="86"/>
      <c r="C190" s="86"/>
      <c r="D190" s="86"/>
      <c r="E190" s="86"/>
      <c r="F190" s="86"/>
      <c r="G190" s="86"/>
      <c r="H190" s="86"/>
      <c r="I190" s="86"/>
      <c r="J190" s="86"/>
      <c r="K190" s="86"/>
      <c r="L190" s="86"/>
      <c r="M190" s="86"/>
      <c r="N190" s="86"/>
      <c r="O190" s="86"/>
      <c r="P190" s="86"/>
      <c r="Q190" s="86"/>
      <c r="R190" s="86"/>
      <c r="S190" s="86"/>
      <c r="T190" s="106"/>
      <c r="U190" s="86"/>
      <c r="V190" s="86"/>
      <c r="W190" s="86"/>
      <c r="X190" s="86"/>
      <c r="Y190" s="86"/>
      <c r="Z190" s="86"/>
      <c r="AA190" s="86"/>
      <c r="AB190" s="86"/>
      <c r="AC190" s="86"/>
      <c r="AD190" s="86"/>
      <c r="AE190" s="86"/>
      <c r="AF190" s="512"/>
      <c r="AG190" s="86"/>
      <c r="AH190" s="86"/>
      <c r="AI190" s="86"/>
      <c r="AJ190" s="86"/>
      <c r="AK190" s="86"/>
      <c r="AL190" s="86"/>
      <c r="AM190" s="86"/>
      <c r="AN190" s="86"/>
      <c r="AO190" s="86"/>
      <c r="AP190" s="86"/>
      <c r="AQ190" s="86"/>
      <c r="AR190" s="86"/>
      <c r="AS190" s="86"/>
      <c r="AT190" s="86"/>
      <c r="AU190" s="86"/>
      <c r="AV190" s="86"/>
    </row>
    <row r="191" spans="1:48">
      <c r="A191" s="86"/>
      <c r="B191" s="86"/>
      <c r="C191" s="86"/>
      <c r="D191" s="86"/>
      <c r="E191" s="86"/>
      <c r="F191" s="86"/>
      <c r="G191" s="86"/>
      <c r="H191" s="86"/>
      <c r="I191" s="86"/>
      <c r="J191" s="86"/>
      <c r="K191" s="86"/>
      <c r="L191" s="86"/>
      <c r="M191" s="86"/>
      <c r="N191" s="86"/>
      <c r="O191" s="86"/>
      <c r="P191" s="86"/>
      <c r="Q191" s="86"/>
      <c r="R191" s="86"/>
      <c r="S191" s="86"/>
      <c r="T191" s="106"/>
      <c r="U191" s="86"/>
      <c r="V191" s="86"/>
      <c r="W191" s="86"/>
      <c r="X191" s="86"/>
      <c r="Y191" s="86"/>
      <c r="Z191" s="86"/>
      <c r="AA191" s="86"/>
      <c r="AB191" s="86"/>
      <c r="AC191" s="86"/>
      <c r="AD191" s="86"/>
      <c r="AE191" s="86"/>
      <c r="AF191" s="512"/>
      <c r="AG191" s="86"/>
      <c r="AH191" s="86"/>
      <c r="AI191" s="86"/>
      <c r="AJ191" s="86"/>
      <c r="AK191" s="86"/>
      <c r="AL191" s="86"/>
      <c r="AM191" s="86"/>
      <c r="AN191" s="86"/>
      <c r="AO191" s="86"/>
      <c r="AP191" s="86"/>
      <c r="AQ191" s="86"/>
      <c r="AR191" s="86"/>
      <c r="AS191" s="86"/>
      <c r="AT191" s="86"/>
      <c r="AU191" s="86"/>
      <c r="AV191" s="86"/>
    </row>
    <row r="192" spans="1:48">
      <c r="A192" s="86"/>
      <c r="B192" s="86"/>
      <c r="C192" s="86"/>
      <c r="D192" s="86"/>
      <c r="E192" s="86"/>
      <c r="F192" s="86"/>
      <c r="G192" s="86"/>
      <c r="H192" s="86"/>
      <c r="I192" s="86"/>
      <c r="J192" s="86"/>
      <c r="K192" s="86"/>
      <c r="L192" s="86"/>
      <c r="M192" s="86"/>
      <c r="N192" s="86"/>
      <c r="O192" s="86"/>
      <c r="P192" s="86"/>
      <c r="Q192" s="86"/>
      <c r="R192" s="86"/>
      <c r="S192" s="86"/>
      <c r="T192" s="106"/>
      <c r="U192" s="86"/>
      <c r="V192" s="86"/>
      <c r="W192" s="86"/>
      <c r="X192" s="86"/>
      <c r="Y192" s="86"/>
      <c r="Z192" s="86"/>
      <c r="AA192" s="86"/>
      <c r="AB192" s="86"/>
      <c r="AC192" s="86"/>
      <c r="AD192" s="86"/>
      <c r="AE192" s="86"/>
      <c r="AF192" s="512"/>
      <c r="AG192" s="86"/>
      <c r="AH192" s="86"/>
      <c r="AI192" s="86"/>
      <c r="AJ192" s="86"/>
      <c r="AK192" s="86"/>
      <c r="AL192" s="86"/>
      <c r="AM192" s="86"/>
      <c r="AN192" s="86"/>
      <c r="AO192" s="86"/>
      <c r="AP192" s="86"/>
      <c r="AQ192" s="86"/>
      <c r="AR192" s="86"/>
      <c r="AS192" s="86"/>
      <c r="AT192" s="86"/>
      <c r="AU192" s="86"/>
      <c r="AV192" s="86"/>
    </row>
    <row r="193" spans="1:48">
      <c r="A193" s="86"/>
      <c r="B193" s="86"/>
      <c r="C193" s="86"/>
      <c r="D193" s="86"/>
      <c r="E193" s="86"/>
      <c r="F193" s="86"/>
      <c r="G193" s="86"/>
      <c r="H193" s="86"/>
      <c r="I193" s="86"/>
      <c r="J193" s="86"/>
      <c r="K193" s="86"/>
      <c r="L193" s="86"/>
      <c r="M193" s="86"/>
      <c r="N193" s="86"/>
      <c r="O193" s="86"/>
      <c r="P193" s="86"/>
      <c r="Q193" s="86"/>
      <c r="R193" s="86"/>
      <c r="S193" s="86"/>
      <c r="T193" s="106"/>
      <c r="U193" s="86"/>
      <c r="V193" s="86"/>
      <c r="W193" s="86"/>
      <c r="X193" s="86"/>
      <c r="Y193" s="86"/>
      <c r="Z193" s="86"/>
      <c r="AA193" s="86"/>
      <c r="AB193" s="86"/>
      <c r="AC193" s="86"/>
      <c r="AD193" s="86"/>
      <c r="AE193" s="86"/>
      <c r="AF193" s="512"/>
      <c r="AG193" s="86"/>
      <c r="AH193" s="86"/>
      <c r="AI193" s="86"/>
      <c r="AJ193" s="86"/>
      <c r="AK193" s="86"/>
      <c r="AL193" s="86"/>
      <c r="AM193" s="86"/>
      <c r="AN193" s="86"/>
      <c r="AO193" s="86"/>
      <c r="AP193" s="86"/>
      <c r="AQ193" s="86"/>
      <c r="AR193" s="86"/>
      <c r="AS193" s="86"/>
      <c r="AT193" s="86"/>
      <c r="AU193" s="86"/>
      <c r="AV193" s="86"/>
    </row>
    <row r="194" spans="1:48">
      <c r="A194" s="86"/>
      <c r="B194" s="86"/>
      <c r="C194" s="86"/>
      <c r="D194" s="86"/>
      <c r="E194" s="86"/>
      <c r="F194" s="86"/>
      <c r="G194" s="86"/>
      <c r="H194" s="86"/>
      <c r="I194" s="86"/>
      <c r="J194" s="86"/>
      <c r="K194" s="86"/>
      <c r="L194" s="86"/>
      <c r="M194" s="86"/>
      <c r="N194" s="86"/>
      <c r="O194" s="86"/>
      <c r="P194" s="86"/>
      <c r="Q194" s="86"/>
      <c r="R194" s="86"/>
      <c r="S194" s="86"/>
      <c r="T194" s="106"/>
      <c r="U194" s="86"/>
      <c r="V194" s="86"/>
      <c r="W194" s="86"/>
      <c r="X194" s="86"/>
      <c r="Y194" s="86"/>
      <c r="Z194" s="86"/>
      <c r="AA194" s="86"/>
      <c r="AB194" s="86"/>
      <c r="AC194" s="86"/>
      <c r="AD194" s="86"/>
      <c r="AE194" s="86"/>
      <c r="AF194" s="512"/>
      <c r="AG194" s="86"/>
      <c r="AH194" s="86"/>
      <c r="AI194" s="86"/>
      <c r="AJ194" s="86"/>
      <c r="AK194" s="86"/>
      <c r="AL194" s="86"/>
      <c r="AM194" s="86"/>
      <c r="AN194" s="86"/>
      <c r="AO194" s="86"/>
      <c r="AP194" s="86"/>
      <c r="AQ194" s="86"/>
      <c r="AR194" s="86"/>
      <c r="AS194" s="86"/>
      <c r="AT194" s="86"/>
      <c r="AU194" s="86"/>
      <c r="AV194" s="86"/>
    </row>
    <row r="195" spans="1:48">
      <c r="A195" s="86"/>
      <c r="B195" s="86"/>
      <c r="C195" s="86"/>
      <c r="D195" s="86"/>
      <c r="E195" s="86"/>
      <c r="F195" s="86"/>
      <c r="G195" s="86"/>
      <c r="H195" s="86"/>
      <c r="I195" s="86"/>
      <c r="J195" s="86"/>
      <c r="K195" s="86"/>
      <c r="L195" s="86"/>
      <c r="M195" s="86"/>
      <c r="N195" s="86"/>
      <c r="O195" s="86"/>
      <c r="P195" s="86"/>
      <c r="Q195" s="86"/>
      <c r="R195" s="86"/>
      <c r="S195" s="86"/>
      <c r="T195" s="106"/>
      <c r="U195" s="86"/>
      <c r="V195" s="86"/>
      <c r="W195" s="86"/>
      <c r="X195" s="86"/>
      <c r="Y195" s="86"/>
      <c r="Z195" s="86"/>
      <c r="AA195" s="86"/>
      <c r="AB195" s="86"/>
      <c r="AC195" s="86"/>
      <c r="AD195" s="86"/>
      <c r="AE195" s="86"/>
      <c r="AF195" s="512"/>
      <c r="AG195" s="86"/>
      <c r="AH195" s="86"/>
      <c r="AI195" s="86"/>
      <c r="AJ195" s="86"/>
      <c r="AK195" s="86"/>
      <c r="AL195" s="86"/>
      <c r="AM195" s="86"/>
      <c r="AN195" s="86"/>
      <c r="AO195" s="86"/>
      <c r="AP195" s="86"/>
      <c r="AQ195" s="86"/>
      <c r="AR195" s="86"/>
      <c r="AS195" s="86"/>
      <c r="AT195" s="86"/>
      <c r="AU195" s="86"/>
      <c r="AV195" s="86"/>
    </row>
    <row r="196" spans="1:48">
      <c r="A196" s="86"/>
      <c r="B196" s="86"/>
      <c r="C196" s="86"/>
      <c r="D196" s="86"/>
      <c r="E196" s="86"/>
      <c r="F196" s="86"/>
      <c r="G196" s="86"/>
      <c r="H196" s="86"/>
      <c r="I196" s="86"/>
      <c r="J196" s="86"/>
      <c r="K196" s="86"/>
      <c r="L196" s="86"/>
      <c r="M196" s="86"/>
      <c r="N196" s="86"/>
      <c r="O196" s="86"/>
      <c r="P196" s="86"/>
      <c r="Q196" s="86"/>
      <c r="R196" s="86"/>
      <c r="S196" s="86"/>
      <c r="T196" s="106"/>
      <c r="U196" s="86"/>
      <c r="V196" s="86"/>
      <c r="W196" s="86"/>
      <c r="X196" s="86"/>
      <c r="Y196" s="86"/>
      <c r="Z196" s="86"/>
      <c r="AA196" s="86"/>
      <c r="AB196" s="86"/>
      <c r="AC196" s="86"/>
      <c r="AD196" s="86"/>
      <c r="AE196" s="86"/>
      <c r="AF196" s="512"/>
      <c r="AG196" s="86"/>
      <c r="AH196" s="86"/>
      <c r="AI196" s="86"/>
      <c r="AJ196" s="86"/>
      <c r="AK196" s="86"/>
      <c r="AL196" s="86"/>
      <c r="AM196" s="86"/>
      <c r="AN196" s="86"/>
      <c r="AO196" s="86"/>
      <c r="AP196" s="86"/>
      <c r="AQ196" s="86"/>
      <c r="AR196" s="86"/>
      <c r="AS196" s="86"/>
      <c r="AT196" s="86"/>
      <c r="AU196" s="86"/>
      <c r="AV196" s="86"/>
    </row>
    <row r="197" spans="1:48">
      <c r="A197" s="86"/>
      <c r="B197" s="86"/>
      <c r="C197" s="86"/>
      <c r="D197" s="86"/>
      <c r="E197" s="86"/>
      <c r="F197" s="86"/>
      <c r="G197" s="86"/>
      <c r="H197" s="86"/>
      <c r="I197" s="86"/>
      <c r="J197" s="86"/>
      <c r="K197" s="86"/>
      <c r="L197" s="86"/>
      <c r="M197" s="86"/>
      <c r="N197" s="86"/>
      <c r="O197" s="86"/>
      <c r="P197" s="86"/>
      <c r="Q197" s="86"/>
      <c r="R197" s="86"/>
      <c r="S197" s="86"/>
      <c r="T197" s="106"/>
      <c r="U197" s="86"/>
      <c r="V197" s="86"/>
      <c r="W197" s="86"/>
      <c r="X197" s="86"/>
      <c r="Y197" s="86"/>
      <c r="Z197" s="86"/>
      <c r="AA197" s="86"/>
      <c r="AB197" s="86"/>
      <c r="AC197" s="86"/>
      <c r="AD197" s="86"/>
      <c r="AE197" s="86"/>
      <c r="AF197" s="512"/>
      <c r="AG197" s="86"/>
      <c r="AH197" s="86"/>
      <c r="AI197" s="86"/>
      <c r="AJ197" s="86"/>
      <c r="AK197" s="86"/>
      <c r="AL197" s="86"/>
      <c r="AM197" s="86"/>
      <c r="AN197" s="86"/>
      <c r="AO197" s="86"/>
      <c r="AP197" s="86"/>
      <c r="AQ197" s="86"/>
      <c r="AR197" s="86"/>
      <c r="AS197" s="86"/>
      <c r="AT197" s="86"/>
      <c r="AU197" s="86"/>
      <c r="AV197" s="86"/>
    </row>
    <row r="198" spans="1:48">
      <c r="A198" s="86"/>
      <c r="B198" s="86"/>
      <c r="C198" s="86"/>
      <c r="D198" s="86"/>
      <c r="E198" s="86"/>
      <c r="F198" s="86"/>
      <c r="G198" s="86"/>
      <c r="H198" s="86"/>
      <c r="I198" s="86"/>
      <c r="J198" s="86"/>
      <c r="K198" s="86"/>
      <c r="L198" s="86"/>
      <c r="M198" s="86"/>
      <c r="N198" s="86"/>
      <c r="O198" s="86"/>
      <c r="P198" s="86"/>
      <c r="Q198" s="86"/>
      <c r="R198" s="86"/>
      <c r="S198" s="86"/>
      <c r="T198" s="106"/>
      <c r="U198" s="86"/>
      <c r="V198" s="86"/>
      <c r="W198" s="86"/>
      <c r="X198" s="86"/>
      <c r="Y198" s="86"/>
      <c r="Z198" s="86"/>
      <c r="AA198" s="86"/>
      <c r="AB198" s="86"/>
      <c r="AC198" s="86"/>
      <c r="AD198" s="86"/>
      <c r="AE198" s="86"/>
      <c r="AF198" s="512"/>
      <c r="AG198" s="86"/>
      <c r="AH198" s="86"/>
      <c r="AI198" s="86"/>
      <c r="AJ198" s="86"/>
      <c r="AK198" s="86"/>
      <c r="AL198" s="86"/>
      <c r="AM198" s="86"/>
      <c r="AN198" s="86"/>
      <c r="AO198" s="86"/>
      <c r="AP198" s="86"/>
      <c r="AQ198" s="86"/>
      <c r="AR198" s="86"/>
      <c r="AS198" s="86"/>
      <c r="AT198" s="86"/>
      <c r="AU198" s="86"/>
      <c r="AV198" s="86"/>
    </row>
    <row r="199" spans="1:48">
      <c r="A199" s="86"/>
      <c r="B199" s="86"/>
      <c r="C199" s="86"/>
      <c r="D199" s="86"/>
      <c r="E199" s="86"/>
      <c r="F199" s="86"/>
      <c r="G199" s="86"/>
      <c r="H199" s="86"/>
      <c r="I199" s="86"/>
      <c r="J199" s="86"/>
      <c r="K199" s="86"/>
      <c r="L199" s="86"/>
      <c r="M199" s="86"/>
      <c r="N199" s="86"/>
      <c r="O199" s="86"/>
      <c r="P199" s="86"/>
      <c r="Q199" s="86"/>
      <c r="R199" s="86"/>
      <c r="S199" s="86"/>
      <c r="T199" s="106"/>
      <c r="U199" s="86"/>
      <c r="V199" s="86"/>
      <c r="W199" s="86"/>
      <c r="X199" s="86"/>
      <c r="Y199" s="86"/>
      <c r="Z199" s="86"/>
      <c r="AA199" s="86"/>
      <c r="AB199" s="86"/>
      <c r="AC199" s="86"/>
      <c r="AD199" s="86"/>
      <c r="AE199" s="86"/>
      <c r="AF199" s="512"/>
      <c r="AG199" s="86"/>
      <c r="AH199" s="86"/>
      <c r="AI199" s="86"/>
      <c r="AJ199" s="86"/>
      <c r="AK199" s="86"/>
      <c r="AL199" s="86"/>
      <c r="AM199" s="86"/>
      <c r="AN199" s="86"/>
      <c r="AO199" s="86"/>
      <c r="AP199" s="86"/>
      <c r="AQ199" s="86"/>
      <c r="AR199" s="86"/>
      <c r="AS199" s="86"/>
      <c r="AT199" s="86"/>
      <c r="AU199" s="86"/>
      <c r="AV199" s="86"/>
    </row>
    <row r="200" spans="1:48">
      <c r="A200" s="86"/>
      <c r="B200" s="86"/>
      <c r="C200" s="86"/>
      <c r="D200" s="86"/>
      <c r="E200" s="86"/>
      <c r="F200" s="86"/>
      <c r="G200" s="86"/>
      <c r="H200" s="86"/>
      <c r="I200" s="86"/>
      <c r="J200" s="86"/>
      <c r="K200" s="86"/>
      <c r="L200" s="86"/>
      <c r="M200" s="86"/>
      <c r="N200" s="86"/>
      <c r="O200" s="86"/>
      <c r="P200" s="86"/>
      <c r="Q200" s="86"/>
      <c r="R200" s="86"/>
      <c r="S200" s="86"/>
      <c r="T200" s="106"/>
      <c r="U200" s="86"/>
      <c r="V200" s="86"/>
      <c r="W200" s="86"/>
      <c r="X200" s="86"/>
      <c r="Y200" s="86"/>
      <c r="Z200" s="86"/>
      <c r="AA200" s="86"/>
      <c r="AB200" s="86"/>
      <c r="AC200" s="86"/>
      <c r="AD200" s="86"/>
      <c r="AE200" s="86"/>
      <c r="AF200" s="512"/>
      <c r="AG200" s="86"/>
      <c r="AH200" s="86"/>
      <c r="AI200" s="86"/>
      <c r="AJ200" s="86"/>
      <c r="AK200" s="86"/>
      <c r="AL200" s="86"/>
      <c r="AM200" s="86"/>
      <c r="AN200" s="86"/>
      <c r="AO200" s="86"/>
      <c r="AP200" s="86"/>
      <c r="AQ200" s="86"/>
      <c r="AR200" s="86"/>
      <c r="AS200" s="86"/>
      <c r="AT200" s="86"/>
      <c r="AU200" s="86"/>
      <c r="AV200" s="86"/>
    </row>
    <row r="201" spans="1:48">
      <c r="A201" s="86"/>
      <c r="B201" s="86"/>
      <c r="C201" s="86"/>
      <c r="D201" s="86"/>
      <c r="E201" s="86"/>
      <c r="F201" s="86"/>
      <c r="G201" s="86"/>
      <c r="H201" s="86"/>
      <c r="I201" s="86"/>
      <c r="J201" s="86"/>
      <c r="K201" s="86"/>
      <c r="L201" s="86"/>
      <c r="M201" s="86"/>
      <c r="N201" s="86"/>
      <c r="O201" s="86"/>
      <c r="P201" s="86"/>
      <c r="Q201" s="86"/>
      <c r="R201" s="86"/>
      <c r="S201" s="86"/>
      <c r="T201" s="106"/>
      <c r="U201" s="86"/>
      <c r="V201" s="86"/>
      <c r="W201" s="86"/>
      <c r="X201" s="86"/>
      <c r="Y201" s="86"/>
      <c r="Z201" s="86"/>
      <c r="AA201" s="86"/>
      <c r="AB201" s="86"/>
      <c r="AC201" s="86"/>
      <c r="AD201" s="86"/>
      <c r="AE201" s="86"/>
      <c r="AF201" s="512"/>
      <c r="AG201" s="86"/>
      <c r="AH201" s="86"/>
      <c r="AI201" s="86"/>
      <c r="AJ201" s="86"/>
      <c r="AK201" s="86"/>
      <c r="AL201" s="86"/>
      <c r="AM201" s="86"/>
      <c r="AN201" s="86"/>
      <c r="AO201" s="86"/>
      <c r="AP201" s="86"/>
      <c r="AQ201" s="86"/>
      <c r="AR201" s="86"/>
      <c r="AS201" s="86"/>
      <c r="AT201" s="86"/>
      <c r="AU201" s="86"/>
      <c r="AV201" s="86"/>
    </row>
    <row r="202" spans="1:48">
      <c r="A202" s="86"/>
      <c r="B202" s="86"/>
      <c r="C202" s="86"/>
      <c r="D202" s="86"/>
      <c r="E202" s="86"/>
      <c r="F202" s="86"/>
      <c r="G202" s="86"/>
      <c r="H202" s="86"/>
      <c r="I202" s="86"/>
      <c r="J202" s="86"/>
      <c r="K202" s="86"/>
      <c r="L202" s="86"/>
      <c r="M202" s="86"/>
      <c r="N202" s="86"/>
      <c r="O202" s="86"/>
      <c r="P202" s="86"/>
      <c r="Q202" s="86"/>
      <c r="R202" s="86"/>
      <c r="S202" s="86"/>
      <c r="T202" s="106"/>
      <c r="U202" s="86"/>
      <c r="V202" s="86"/>
      <c r="W202" s="86"/>
      <c r="X202" s="86"/>
      <c r="Y202" s="86"/>
      <c r="Z202" s="86"/>
      <c r="AA202" s="86"/>
      <c r="AB202" s="86"/>
      <c r="AC202" s="86"/>
      <c r="AD202" s="86"/>
      <c r="AE202" s="86"/>
      <c r="AF202" s="512"/>
      <c r="AG202" s="86"/>
      <c r="AH202" s="86"/>
      <c r="AI202" s="86"/>
      <c r="AJ202" s="86"/>
      <c r="AK202" s="86"/>
      <c r="AL202" s="86"/>
      <c r="AM202" s="86"/>
      <c r="AN202" s="86"/>
      <c r="AO202" s="86"/>
      <c r="AP202" s="86"/>
      <c r="AQ202" s="86"/>
      <c r="AR202" s="86"/>
      <c r="AS202" s="86"/>
      <c r="AT202" s="86"/>
      <c r="AU202" s="86"/>
      <c r="AV202" s="86"/>
    </row>
    <row r="203" spans="1:48">
      <c r="A203" s="86"/>
      <c r="B203" s="86"/>
      <c r="C203" s="86"/>
      <c r="D203" s="86"/>
      <c r="E203" s="86"/>
      <c r="F203" s="86"/>
      <c r="G203" s="86"/>
      <c r="H203" s="86"/>
      <c r="I203" s="86"/>
      <c r="J203" s="86"/>
      <c r="K203" s="86"/>
      <c r="L203" s="86"/>
      <c r="M203" s="86"/>
      <c r="N203" s="86"/>
      <c r="O203" s="86"/>
      <c r="P203" s="86"/>
      <c r="Q203" s="86"/>
      <c r="R203" s="86"/>
      <c r="S203" s="86"/>
      <c r="T203" s="106"/>
      <c r="U203" s="86"/>
      <c r="V203" s="86"/>
      <c r="W203" s="86"/>
      <c r="X203" s="86"/>
      <c r="Y203" s="86"/>
      <c r="Z203" s="86"/>
      <c r="AA203" s="86"/>
      <c r="AB203" s="86"/>
      <c r="AC203" s="86"/>
      <c r="AD203" s="86"/>
      <c r="AE203" s="86"/>
      <c r="AF203" s="512"/>
      <c r="AG203" s="86"/>
      <c r="AH203" s="86"/>
      <c r="AI203" s="86"/>
      <c r="AJ203" s="86"/>
      <c r="AK203" s="86"/>
      <c r="AL203" s="86"/>
      <c r="AM203" s="86"/>
      <c r="AN203" s="86"/>
      <c r="AO203" s="86"/>
      <c r="AP203" s="86"/>
      <c r="AQ203" s="86"/>
      <c r="AR203" s="86"/>
      <c r="AS203" s="86"/>
      <c r="AT203" s="86"/>
      <c r="AU203" s="86"/>
      <c r="AV203" s="86"/>
    </row>
    <row r="204" spans="1:48">
      <c r="A204" s="86"/>
      <c r="B204" s="86"/>
      <c r="C204" s="86"/>
      <c r="D204" s="86"/>
      <c r="E204" s="86"/>
      <c r="F204" s="86"/>
      <c r="G204" s="86"/>
      <c r="H204" s="86"/>
      <c r="I204" s="86"/>
      <c r="J204" s="86"/>
      <c r="K204" s="86"/>
      <c r="L204" s="86"/>
      <c r="M204" s="86"/>
      <c r="N204" s="86"/>
      <c r="O204" s="86"/>
      <c r="P204" s="86"/>
      <c r="Q204" s="86"/>
      <c r="R204" s="86"/>
      <c r="S204" s="86"/>
      <c r="T204" s="106"/>
      <c r="U204" s="86"/>
      <c r="V204" s="86"/>
      <c r="W204" s="86"/>
      <c r="X204" s="86"/>
      <c r="Y204" s="86"/>
      <c r="Z204" s="86"/>
      <c r="AA204" s="86"/>
      <c r="AB204" s="86"/>
      <c r="AC204" s="86"/>
      <c r="AD204" s="86"/>
      <c r="AE204" s="86"/>
      <c r="AF204" s="512"/>
      <c r="AG204" s="86"/>
      <c r="AH204" s="86"/>
      <c r="AI204" s="86"/>
      <c r="AJ204" s="86"/>
      <c r="AK204" s="86"/>
      <c r="AL204" s="86"/>
      <c r="AM204" s="86"/>
      <c r="AN204" s="86"/>
      <c r="AO204" s="86"/>
      <c r="AP204" s="86"/>
      <c r="AQ204" s="86"/>
      <c r="AR204" s="86"/>
      <c r="AS204" s="86"/>
      <c r="AT204" s="86"/>
      <c r="AU204" s="86"/>
      <c r="AV204" s="86"/>
    </row>
    <row r="205" spans="1:48">
      <c r="A205" s="86"/>
      <c r="B205" s="86"/>
      <c r="C205" s="86"/>
      <c r="D205" s="86"/>
      <c r="E205" s="86"/>
      <c r="F205" s="86"/>
      <c r="G205" s="86"/>
      <c r="H205" s="86"/>
      <c r="I205" s="86"/>
      <c r="J205" s="86"/>
      <c r="K205" s="86"/>
      <c r="L205" s="86"/>
      <c r="M205" s="86"/>
      <c r="N205" s="86"/>
      <c r="O205" s="86"/>
      <c r="P205" s="86"/>
      <c r="Q205" s="86"/>
      <c r="R205" s="86"/>
      <c r="S205" s="86"/>
      <c r="T205" s="106"/>
      <c r="U205" s="86"/>
      <c r="V205" s="86"/>
      <c r="W205" s="86"/>
      <c r="X205" s="86"/>
      <c r="Y205" s="86"/>
      <c r="Z205" s="86"/>
      <c r="AA205" s="86"/>
      <c r="AB205" s="86"/>
      <c r="AC205" s="86"/>
      <c r="AD205" s="86"/>
      <c r="AE205" s="86"/>
      <c r="AF205" s="512"/>
      <c r="AG205" s="86"/>
      <c r="AH205" s="86"/>
      <c r="AI205" s="86"/>
      <c r="AJ205" s="86"/>
      <c r="AK205" s="86"/>
      <c r="AL205" s="86"/>
      <c r="AM205" s="86"/>
      <c r="AN205" s="86"/>
      <c r="AO205" s="86"/>
      <c r="AP205" s="86"/>
      <c r="AQ205" s="86"/>
      <c r="AR205" s="86"/>
      <c r="AS205" s="86"/>
      <c r="AT205" s="86"/>
      <c r="AU205" s="86"/>
      <c r="AV205" s="86"/>
    </row>
    <row r="206" spans="1:48">
      <c r="A206" s="86"/>
      <c r="B206" s="86"/>
      <c r="C206" s="86"/>
      <c r="D206" s="86"/>
      <c r="E206" s="86"/>
      <c r="F206" s="86"/>
      <c r="G206" s="86"/>
      <c r="H206" s="86"/>
      <c r="I206" s="86"/>
      <c r="J206" s="86"/>
      <c r="K206" s="86"/>
      <c r="L206" s="86"/>
      <c r="M206" s="86"/>
      <c r="N206" s="86"/>
      <c r="O206" s="86"/>
      <c r="P206" s="86"/>
      <c r="Q206" s="86"/>
      <c r="R206" s="86"/>
      <c r="S206" s="86"/>
      <c r="T206" s="106"/>
      <c r="U206" s="86"/>
      <c r="V206" s="86"/>
      <c r="W206" s="86"/>
      <c r="X206" s="86"/>
      <c r="Y206" s="86"/>
      <c r="Z206" s="86"/>
      <c r="AA206" s="86"/>
      <c r="AB206" s="86"/>
      <c r="AC206" s="86"/>
      <c r="AD206" s="86"/>
      <c r="AE206" s="86"/>
      <c r="AF206" s="512"/>
      <c r="AG206" s="86"/>
      <c r="AH206" s="86"/>
      <c r="AI206" s="86"/>
      <c r="AJ206" s="86"/>
      <c r="AK206" s="86"/>
      <c r="AL206" s="86"/>
      <c r="AM206" s="86"/>
      <c r="AN206" s="86"/>
      <c r="AO206" s="86"/>
      <c r="AP206" s="86"/>
      <c r="AQ206" s="86"/>
      <c r="AR206" s="86"/>
      <c r="AS206" s="86"/>
      <c r="AT206" s="86"/>
      <c r="AU206" s="86"/>
      <c r="AV206" s="86"/>
    </row>
    <row r="207" spans="1:48">
      <c r="A207" s="86"/>
      <c r="B207" s="86"/>
      <c r="C207" s="86"/>
      <c r="D207" s="86"/>
      <c r="E207" s="86"/>
      <c r="F207" s="86"/>
      <c r="G207" s="86"/>
      <c r="H207" s="86"/>
      <c r="I207" s="86"/>
      <c r="J207" s="86"/>
      <c r="K207" s="86"/>
      <c r="L207" s="86"/>
      <c r="M207" s="86"/>
      <c r="N207" s="86"/>
      <c r="O207" s="86"/>
      <c r="P207" s="86"/>
      <c r="Q207" s="86"/>
      <c r="R207" s="86"/>
      <c r="S207" s="86"/>
      <c r="T207" s="106"/>
      <c r="U207" s="86"/>
      <c r="V207" s="86"/>
      <c r="W207" s="86"/>
      <c r="X207" s="86"/>
      <c r="Y207" s="86"/>
      <c r="Z207" s="86"/>
      <c r="AA207" s="86"/>
      <c r="AB207" s="86"/>
      <c r="AC207" s="86"/>
      <c r="AD207" s="86"/>
      <c r="AE207" s="86"/>
      <c r="AF207" s="512"/>
      <c r="AG207" s="86"/>
      <c r="AH207" s="86"/>
      <c r="AI207" s="86"/>
      <c r="AJ207" s="86"/>
      <c r="AK207" s="86"/>
      <c r="AL207" s="86"/>
      <c r="AM207" s="86"/>
      <c r="AN207" s="86"/>
      <c r="AO207" s="86"/>
      <c r="AP207" s="86"/>
      <c r="AQ207" s="86"/>
      <c r="AR207" s="86"/>
      <c r="AS207" s="86"/>
      <c r="AT207" s="86"/>
      <c r="AU207" s="86"/>
      <c r="AV207" s="86"/>
    </row>
    <row r="208" spans="1:48">
      <c r="A208" s="86"/>
      <c r="B208" s="86"/>
      <c r="C208" s="86"/>
      <c r="D208" s="86"/>
      <c r="E208" s="86"/>
      <c r="F208" s="86"/>
      <c r="G208" s="86"/>
      <c r="H208" s="86"/>
      <c r="I208" s="86"/>
      <c r="J208" s="86"/>
      <c r="K208" s="86"/>
      <c r="L208" s="86"/>
      <c r="M208" s="86"/>
      <c r="N208" s="86"/>
      <c r="O208" s="86"/>
      <c r="P208" s="86"/>
      <c r="Q208" s="86"/>
      <c r="R208" s="86"/>
      <c r="S208" s="86"/>
      <c r="T208" s="106"/>
      <c r="U208" s="86"/>
      <c r="V208" s="86"/>
      <c r="W208" s="86"/>
      <c r="X208" s="86"/>
      <c r="Y208" s="86"/>
      <c r="Z208" s="86"/>
      <c r="AA208" s="86"/>
      <c r="AB208" s="86"/>
      <c r="AC208" s="86"/>
      <c r="AD208" s="86"/>
      <c r="AE208" s="86"/>
      <c r="AF208" s="512"/>
      <c r="AG208" s="86"/>
      <c r="AH208" s="86"/>
      <c r="AI208" s="86"/>
      <c r="AJ208" s="86"/>
      <c r="AK208" s="86"/>
      <c r="AL208" s="86"/>
      <c r="AM208" s="86"/>
      <c r="AN208" s="86"/>
      <c r="AO208" s="86"/>
      <c r="AP208" s="86"/>
      <c r="AQ208" s="86"/>
      <c r="AR208" s="86"/>
      <c r="AS208" s="86"/>
      <c r="AT208" s="86"/>
      <c r="AU208" s="86"/>
      <c r="AV208" s="86"/>
    </row>
    <row r="209" spans="1:48">
      <c r="A209" s="86"/>
      <c r="B209" s="86"/>
      <c r="C209" s="86"/>
      <c r="D209" s="86"/>
      <c r="E209" s="86"/>
      <c r="F209" s="86"/>
      <c r="G209" s="86"/>
      <c r="H209" s="86"/>
      <c r="I209" s="86"/>
      <c r="J209" s="86"/>
      <c r="K209" s="86"/>
      <c r="L209" s="86"/>
      <c r="M209" s="86"/>
      <c r="N209" s="86"/>
      <c r="O209" s="86"/>
      <c r="P209" s="86"/>
      <c r="Q209" s="86"/>
      <c r="R209" s="86"/>
      <c r="S209" s="86"/>
      <c r="T209" s="106"/>
      <c r="U209" s="86"/>
      <c r="V209" s="86"/>
      <c r="W209" s="86"/>
      <c r="X209" s="86"/>
      <c r="Y209" s="86"/>
      <c r="Z209" s="86"/>
      <c r="AA209" s="86"/>
      <c r="AB209" s="86"/>
      <c r="AC209" s="86"/>
      <c r="AD209" s="86"/>
      <c r="AE209" s="86"/>
      <c r="AF209" s="512"/>
      <c r="AG209" s="86"/>
      <c r="AH209" s="86"/>
      <c r="AI209" s="86"/>
      <c r="AJ209" s="86"/>
      <c r="AK209" s="86"/>
      <c r="AL209" s="86"/>
      <c r="AM209" s="86"/>
      <c r="AN209" s="86"/>
      <c r="AO209" s="86"/>
      <c r="AP209" s="86"/>
      <c r="AQ209" s="86"/>
      <c r="AR209" s="86"/>
      <c r="AS209" s="86"/>
      <c r="AT209" s="86"/>
      <c r="AU209" s="86"/>
      <c r="AV209" s="86"/>
    </row>
    <row r="210" spans="1:48">
      <c r="A210" s="86"/>
      <c r="B210" s="86"/>
      <c r="C210" s="86"/>
      <c r="D210" s="86"/>
      <c r="E210" s="86"/>
      <c r="F210" s="86"/>
      <c r="G210" s="86"/>
      <c r="H210" s="86"/>
      <c r="I210" s="86"/>
      <c r="J210" s="86"/>
      <c r="K210" s="86"/>
      <c r="L210" s="86"/>
      <c r="M210" s="86"/>
      <c r="N210" s="86"/>
      <c r="O210" s="86"/>
      <c r="P210" s="86"/>
      <c r="Q210" s="86"/>
      <c r="R210" s="86"/>
      <c r="S210" s="86"/>
      <c r="T210" s="106"/>
      <c r="U210" s="86"/>
      <c r="V210" s="86"/>
      <c r="W210" s="86"/>
      <c r="X210" s="86"/>
      <c r="Y210" s="86"/>
      <c r="Z210" s="86"/>
      <c r="AA210" s="86"/>
      <c r="AB210" s="86"/>
      <c r="AC210" s="86"/>
      <c r="AD210" s="86"/>
      <c r="AE210" s="86"/>
      <c r="AF210" s="512"/>
      <c r="AG210" s="86"/>
      <c r="AH210" s="86"/>
      <c r="AI210" s="86"/>
      <c r="AJ210" s="86"/>
      <c r="AK210" s="86"/>
      <c r="AL210" s="86"/>
      <c r="AM210" s="86"/>
      <c r="AN210" s="86"/>
      <c r="AO210" s="86"/>
      <c r="AP210" s="86"/>
      <c r="AQ210" s="86"/>
      <c r="AR210" s="86"/>
      <c r="AS210" s="86"/>
      <c r="AT210" s="86"/>
      <c r="AU210" s="86"/>
      <c r="AV210" s="86"/>
    </row>
    <row r="211" spans="1:48">
      <c r="A211" s="86"/>
      <c r="B211" s="86"/>
      <c r="C211" s="86"/>
      <c r="D211" s="86"/>
      <c r="E211" s="86"/>
      <c r="F211" s="86"/>
      <c r="G211" s="86"/>
      <c r="H211" s="86"/>
      <c r="I211" s="86"/>
      <c r="J211" s="86"/>
      <c r="K211" s="86"/>
      <c r="L211" s="86"/>
      <c r="M211" s="86"/>
      <c r="N211" s="86"/>
      <c r="O211" s="86"/>
      <c r="P211" s="86"/>
      <c r="Q211" s="86"/>
      <c r="R211" s="86"/>
      <c r="S211" s="86"/>
      <c r="T211" s="106"/>
      <c r="U211" s="86"/>
      <c r="V211" s="86"/>
      <c r="W211" s="86"/>
      <c r="X211" s="86"/>
      <c r="Y211" s="86"/>
      <c r="Z211" s="86"/>
      <c r="AA211" s="86"/>
      <c r="AB211" s="86"/>
      <c r="AC211" s="86"/>
      <c r="AD211" s="86"/>
      <c r="AE211" s="86"/>
      <c r="AF211" s="512"/>
      <c r="AG211" s="86"/>
      <c r="AH211" s="86"/>
      <c r="AI211" s="86"/>
      <c r="AJ211" s="86"/>
      <c r="AK211" s="86"/>
      <c r="AL211" s="86"/>
      <c r="AM211" s="86"/>
      <c r="AN211" s="86"/>
      <c r="AO211" s="86"/>
      <c r="AP211" s="86"/>
      <c r="AQ211" s="86"/>
      <c r="AR211" s="86"/>
      <c r="AS211" s="86"/>
      <c r="AT211" s="86"/>
      <c r="AU211" s="86"/>
      <c r="AV211" s="86"/>
    </row>
    <row r="212" spans="1:48">
      <c r="A212" s="86"/>
      <c r="B212" s="86"/>
      <c r="C212" s="86"/>
      <c r="D212" s="86"/>
      <c r="E212" s="86"/>
      <c r="F212" s="86"/>
      <c r="G212" s="86"/>
      <c r="H212" s="86"/>
      <c r="I212" s="86"/>
      <c r="J212" s="86"/>
      <c r="K212" s="86"/>
      <c r="L212" s="86"/>
      <c r="M212" s="86"/>
      <c r="N212" s="86"/>
      <c r="O212" s="86"/>
      <c r="P212" s="86"/>
      <c r="Q212" s="86"/>
      <c r="R212" s="86"/>
      <c r="S212" s="86"/>
      <c r="T212" s="106"/>
      <c r="U212" s="86"/>
      <c r="V212" s="86"/>
      <c r="W212" s="86"/>
      <c r="X212" s="86"/>
      <c r="Y212" s="86"/>
      <c r="Z212" s="86"/>
      <c r="AA212" s="86"/>
      <c r="AB212" s="86"/>
      <c r="AC212" s="86"/>
      <c r="AD212" s="86"/>
      <c r="AE212" s="86"/>
      <c r="AF212" s="512"/>
      <c r="AG212" s="86"/>
      <c r="AH212" s="86"/>
      <c r="AI212" s="86"/>
      <c r="AJ212" s="86"/>
      <c r="AK212" s="86"/>
      <c r="AL212" s="86"/>
      <c r="AM212" s="86"/>
      <c r="AN212" s="86"/>
      <c r="AO212" s="86"/>
      <c r="AP212" s="86"/>
      <c r="AQ212" s="86"/>
      <c r="AR212" s="86"/>
      <c r="AS212" s="86"/>
      <c r="AT212" s="86"/>
      <c r="AU212" s="86"/>
      <c r="AV212" s="86"/>
    </row>
    <row r="213" spans="1:48">
      <c r="A213" s="86"/>
      <c r="B213" s="86"/>
      <c r="C213" s="86"/>
      <c r="D213" s="86"/>
      <c r="E213" s="86"/>
      <c r="F213" s="86"/>
      <c r="G213" s="86"/>
      <c r="H213" s="86"/>
      <c r="I213" s="86"/>
      <c r="J213" s="86"/>
      <c r="K213" s="86"/>
      <c r="L213" s="86"/>
      <c r="M213" s="86"/>
      <c r="N213" s="86"/>
      <c r="O213" s="86"/>
      <c r="P213" s="86"/>
      <c r="Q213" s="86"/>
      <c r="R213" s="86"/>
      <c r="S213" s="86"/>
      <c r="T213" s="106"/>
      <c r="U213" s="86"/>
      <c r="V213" s="86"/>
      <c r="W213" s="86"/>
      <c r="X213" s="86"/>
      <c r="Y213" s="86"/>
      <c r="Z213" s="86"/>
      <c r="AA213" s="86"/>
      <c r="AB213" s="86"/>
      <c r="AC213" s="86"/>
      <c r="AD213" s="86"/>
      <c r="AE213" s="86"/>
      <c r="AF213" s="512"/>
      <c r="AG213" s="86"/>
      <c r="AH213" s="86"/>
      <c r="AI213" s="86"/>
      <c r="AJ213" s="86"/>
      <c r="AK213" s="86"/>
      <c r="AL213" s="86"/>
      <c r="AM213" s="86"/>
      <c r="AN213" s="86"/>
      <c r="AO213" s="86"/>
      <c r="AP213" s="86"/>
      <c r="AQ213" s="86"/>
      <c r="AR213" s="86"/>
      <c r="AS213" s="86"/>
      <c r="AT213" s="86"/>
      <c r="AU213" s="86"/>
      <c r="AV213" s="86"/>
    </row>
    <row r="214" spans="1:48">
      <c r="A214" s="86"/>
      <c r="B214" s="86"/>
      <c r="C214" s="86"/>
      <c r="D214" s="86"/>
      <c r="E214" s="86"/>
      <c r="F214" s="86"/>
      <c r="G214" s="86"/>
      <c r="H214" s="86"/>
      <c r="I214" s="86"/>
      <c r="J214" s="86"/>
      <c r="K214" s="86"/>
      <c r="L214" s="86"/>
      <c r="M214" s="86"/>
      <c r="N214" s="86"/>
      <c r="O214" s="86"/>
      <c r="P214" s="86"/>
      <c r="Q214" s="86"/>
      <c r="R214" s="86"/>
      <c r="S214" s="86"/>
      <c r="T214" s="106"/>
      <c r="U214" s="86"/>
      <c r="V214" s="86"/>
      <c r="W214" s="86"/>
      <c r="X214" s="86"/>
      <c r="Y214" s="86"/>
      <c r="Z214" s="86"/>
      <c r="AA214" s="86"/>
      <c r="AB214" s="86"/>
      <c r="AC214" s="86"/>
      <c r="AD214" s="86"/>
      <c r="AE214" s="86"/>
      <c r="AF214" s="512"/>
      <c r="AG214" s="86"/>
      <c r="AH214" s="86"/>
      <c r="AI214" s="86"/>
      <c r="AJ214" s="86"/>
      <c r="AK214" s="86"/>
      <c r="AL214" s="86"/>
      <c r="AM214" s="86"/>
      <c r="AN214" s="86"/>
      <c r="AO214" s="86"/>
      <c r="AP214" s="86"/>
      <c r="AQ214" s="86"/>
      <c r="AR214" s="86"/>
      <c r="AS214" s="86"/>
      <c r="AT214" s="86"/>
      <c r="AU214" s="86"/>
      <c r="AV214" s="86"/>
    </row>
    <row r="215" spans="1:48">
      <c r="A215" s="86"/>
      <c r="B215" s="86"/>
      <c r="C215" s="86"/>
      <c r="D215" s="86"/>
      <c r="E215" s="86"/>
      <c r="F215" s="86"/>
      <c r="G215" s="86"/>
      <c r="H215" s="86"/>
      <c r="I215" s="86"/>
      <c r="J215" s="86"/>
      <c r="K215" s="86"/>
      <c r="L215" s="86"/>
      <c r="M215" s="86"/>
      <c r="N215" s="86"/>
      <c r="O215" s="86"/>
      <c r="P215" s="86"/>
      <c r="Q215" s="86"/>
      <c r="R215" s="86"/>
      <c r="S215" s="86"/>
      <c r="T215" s="106"/>
      <c r="U215" s="86"/>
      <c r="V215" s="86"/>
      <c r="W215" s="86"/>
      <c r="X215" s="86"/>
      <c r="Y215" s="86"/>
      <c r="Z215" s="86"/>
      <c r="AA215" s="86"/>
      <c r="AB215" s="86"/>
      <c r="AC215" s="86"/>
      <c r="AD215" s="86"/>
      <c r="AE215" s="86"/>
      <c r="AF215" s="512"/>
      <c r="AG215" s="86"/>
      <c r="AH215" s="86"/>
      <c r="AI215" s="86"/>
      <c r="AJ215" s="86"/>
      <c r="AK215" s="86"/>
      <c r="AL215" s="86"/>
      <c r="AM215" s="86"/>
      <c r="AN215" s="86"/>
      <c r="AO215" s="86"/>
      <c r="AP215" s="86"/>
      <c r="AQ215" s="86"/>
      <c r="AR215" s="86"/>
      <c r="AS215" s="86"/>
      <c r="AT215" s="86"/>
      <c r="AU215" s="86"/>
      <c r="AV215" s="86"/>
    </row>
    <row r="216" spans="1:48">
      <c r="A216" s="86"/>
      <c r="B216" s="86"/>
      <c r="C216" s="86"/>
      <c r="D216" s="86"/>
      <c r="E216" s="86"/>
      <c r="F216" s="86"/>
      <c r="G216" s="86"/>
      <c r="H216" s="86"/>
      <c r="I216" s="86"/>
      <c r="J216" s="86"/>
      <c r="K216" s="86"/>
      <c r="L216" s="86"/>
      <c r="M216" s="86"/>
      <c r="N216" s="86"/>
      <c r="O216" s="86"/>
      <c r="P216" s="86"/>
      <c r="Q216" s="86"/>
      <c r="R216" s="86"/>
      <c r="S216" s="86"/>
      <c r="T216" s="106"/>
      <c r="U216" s="86"/>
      <c r="V216" s="86"/>
      <c r="W216" s="86"/>
      <c r="X216" s="86"/>
      <c r="Y216" s="86"/>
      <c r="Z216" s="86"/>
      <c r="AA216" s="86"/>
      <c r="AB216" s="86"/>
      <c r="AC216" s="86"/>
      <c r="AD216" s="86"/>
      <c r="AE216" s="86"/>
      <c r="AF216" s="512"/>
      <c r="AG216" s="86"/>
      <c r="AH216" s="86"/>
      <c r="AI216" s="86"/>
      <c r="AJ216" s="86"/>
      <c r="AK216" s="86"/>
      <c r="AL216" s="86"/>
      <c r="AM216" s="86"/>
      <c r="AN216" s="86"/>
      <c r="AO216" s="86"/>
      <c r="AP216" s="86"/>
      <c r="AQ216" s="86"/>
      <c r="AR216" s="86"/>
      <c r="AS216" s="86"/>
      <c r="AT216" s="86"/>
      <c r="AU216" s="86"/>
      <c r="AV216" s="86"/>
    </row>
    <row r="217" spans="1:48">
      <c r="A217" s="86"/>
      <c r="B217" s="86"/>
      <c r="C217" s="86"/>
      <c r="D217" s="86"/>
      <c r="E217" s="86"/>
      <c r="F217" s="86"/>
      <c r="G217" s="86"/>
      <c r="H217" s="86"/>
      <c r="I217" s="86"/>
      <c r="J217" s="86"/>
      <c r="K217" s="86"/>
      <c r="L217" s="86"/>
      <c r="M217" s="86"/>
      <c r="N217" s="86"/>
      <c r="O217" s="86"/>
      <c r="P217" s="86"/>
      <c r="Q217" s="86"/>
      <c r="R217" s="86"/>
      <c r="S217" s="86"/>
      <c r="T217" s="106"/>
      <c r="U217" s="86"/>
      <c r="V217" s="86"/>
      <c r="W217" s="86"/>
      <c r="X217" s="86"/>
      <c r="Y217" s="86"/>
      <c r="Z217" s="86"/>
      <c r="AA217" s="86"/>
      <c r="AB217" s="86"/>
      <c r="AC217" s="86"/>
      <c r="AD217" s="86"/>
      <c r="AE217" s="86"/>
      <c r="AF217" s="512"/>
      <c r="AG217" s="86"/>
      <c r="AH217" s="86"/>
      <c r="AI217" s="86"/>
      <c r="AJ217" s="86"/>
      <c r="AK217" s="86"/>
      <c r="AL217" s="86"/>
      <c r="AM217" s="86"/>
      <c r="AN217" s="86"/>
      <c r="AO217" s="86"/>
      <c r="AP217" s="86"/>
      <c r="AQ217" s="86"/>
      <c r="AR217" s="86"/>
      <c r="AS217" s="86"/>
      <c r="AT217" s="86"/>
      <c r="AU217" s="86"/>
      <c r="AV217" s="86"/>
    </row>
    <row r="218" spans="1:48">
      <c r="A218" s="86"/>
      <c r="B218" s="86"/>
      <c r="C218" s="86"/>
      <c r="D218" s="86"/>
      <c r="E218" s="86"/>
      <c r="F218" s="86"/>
      <c r="G218" s="86"/>
      <c r="H218" s="86"/>
      <c r="I218" s="86"/>
      <c r="J218" s="86"/>
      <c r="K218" s="86"/>
      <c r="L218" s="86"/>
      <c r="M218" s="86"/>
      <c r="N218" s="86"/>
      <c r="O218" s="86"/>
      <c r="P218" s="86"/>
      <c r="Q218" s="86"/>
      <c r="R218" s="86"/>
      <c r="S218" s="86"/>
      <c r="T218" s="106"/>
      <c r="U218" s="86"/>
      <c r="V218" s="86"/>
      <c r="W218" s="86"/>
      <c r="X218" s="86"/>
      <c r="Y218" s="86"/>
      <c r="Z218" s="86"/>
      <c r="AA218" s="86"/>
      <c r="AB218" s="86"/>
      <c r="AC218" s="86"/>
      <c r="AD218" s="86"/>
      <c r="AE218" s="86"/>
      <c r="AF218" s="512"/>
      <c r="AG218" s="86"/>
      <c r="AH218" s="86"/>
      <c r="AI218" s="86"/>
      <c r="AJ218" s="86"/>
      <c r="AK218" s="86"/>
      <c r="AL218" s="86"/>
      <c r="AM218" s="86"/>
      <c r="AN218" s="86"/>
      <c r="AO218" s="86"/>
      <c r="AP218" s="86"/>
      <c r="AQ218" s="86"/>
      <c r="AR218" s="86"/>
      <c r="AS218" s="86"/>
      <c r="AT218" s="86"/>
      <c r="AU218" s="86"/>
      <c r="AV218" s="86"/>
    </row>
    <row r="219" spans="1:48">
      <c r="A219" s="86"/>
      <c r="B219" s="86"/>
      <c r="C219" s="86"/>
      <c r="D219" s="86"/>
      <c r="E219" s="86"/>
      <c r="F219" s="86"/>
      <c r="G219" s="86"/>
      <c r="H219" s="86"/>
      <c r="I219" s="86"/>
      <c r="J219" s="86"/>
      <c r="K219" s="86"/>
      <c r="L219" s="86"/>
      <c r="M219" s="86"/>
      <c r="N219" s="86"/>
      <c r="O219" s="86"/>
      <c r="P219" s="86"/>
      <c r="Q219" s="86"/>
      <c r="R219" s="86"/>
      <c r="S219" s="86"/>
      <c r="T219" s="106"/>
      <c r="U219" s="86"/>
      <c r="V219" s="86"/>
      <c r="W219" s="86"/>
      <c r="X219" s="86"/>
      <c r="Y219" s="86"/>
      <c r="Z219" s="86"/>
      <c r="AA219" s="86"/>
      <c r="AB219" s="86"/>
      <c r="AC219" s="86"/>
      <c r="AD219" s="86"/>
      <c r="AE219" s="86"/>
      <c r="AF219" s="512"/>
      <c r="AG219" s="86"/>
      <c r="AH219" s="86"/>
      <c r="AI219" s="86"/>
      <c r="AJ219" s="86"/>
      <c r="AK219" s="86"/>
      <c r="AL219" s="86"/>
      <c r="AM219" s="86"/>
      <c r="AN219" s="86"/>
      <c r="AO219" s="86"/>
      <c r="AP219" s="86"/>
      <c r="AQ219" s="86"/>
      <c r="AR219" s="86"/>
      <c r="AS219" s="86"/>
      <c r="AT219" s="86"/>
      <c r="AU219" s="86"/>
      <c r="AV219" s="86"/>
    </row>
    <row r="220" spans="1:48">
      <c r="A220" s="86"/>
      <c r="B220" s="86"/>
      <c r="C220" s="86"/>
      <c r="D220" s="86"/>
      <c r="E220" s="86"/>
      <c r="F220" s="86"/>
      <c r="G220" s="86"/>
      <c r="H220" s="86"/>
      <c r="I220" s="86"/>
      <c r="J220" s="86"/>
      <c r="K220" s="86"/>
      <c r="L220" s="86"/>
      <c r="M220" s="86"/>
      <c r="N220" s="86"/>
      <c r="O220" s="86"/>
      <c r="P220" s="86"/>
      <c r="Q220" s="86"/>
      <c r="R220" s="86"/>
      <c r="S220" s="86"/>
      <c r="T220" s="106"/>
      <c r="U220" s="86"/>
      <c r="V220" s="86"/>
      <c r="W220" s="86"/>
      <c r="X220" s="86"/>
      <c r="Y220" s="86"/>
      <c r="Z220" s="86"/>
      <c r="AA220" s="86"/>
      <c r="AB220" s="86"/>
      <c r="AC220" s="86"/>
      <c r="AD220" s="86"/>
      <c r="AE220" s="86"/>
      <c r="AF220" s="512"/>
      <c r="AG220" s="86"/>
      <c r="AH220" s="86"/>
      <c r="AI220" s="86"/>
      <c r="AJ220" s="86"/>
      <c r="AK220" s="86"/>
      <c r="AL220" s="86"/>
      <c r="AM220" s="86"/>
      <c r="AN220" s="86"/>
      <c r="AO220" s="86"/>
      <c r="AP220" s="86"/>
      <c r="AQ220" s="86"/>
      <c r="AR220" s="86"/>
      <c r="AS220" s="86"/>
      <c r="AT220" s="86"/>
      <c r="AU220" s="86"/>
      <c r="AV220" s="86"/>
    </row>
    <row r="221" spans="1:48">
      <c r="A221" s="86"/>
      <c r="B221" s="86"/>
      <c r="C221" s="86"/>
      <c r="D221" s="86"/>
      <c r="E221" s="86"/>
      <c r="F221" s="86"/>
      <c r="G221" s="86"/>
      <c r="H221" s="86"/>
      <c r="I221" s="86"/>
      <c r="J221" s="86"/>
      <c r="K221" s="86"/>
      <c r="L221" s="86"/>
      <c r="M221" s="86"/>
      <c r="N221" s="86"/>
      <c r="O221" s="86"/>
      <c r="P221" s="86"/>
      <c r="Q221" s="86"/>
      <c r="R221" s="86"/>
      <c r="S221" s="86"/>
      <c r="T221" s="106"/>
      <c r="U221" s="86"/>
      <c r="V221" s="86"/>
      <c r="W221" s="86"/>
      <c r="X221" s="86"/>
      <c r="Y221" s="86"/>
      <c r="Z221" s="86"/>
      <c r="AA221" s="86"/>
      <c r="AB221" s="86"/>
      <c r="AC221" s="86"/>
      <c r="AD221" s="86"/>
      <c r="AE221" s="86"/>
      <c r="AF221" s="512"/>
      <c r="AG221" s="86"/>
      <c r="AH221" s="86"/>
      <c r="AI221" s="86"/>
      <c r="AJ221" s="86"/>
      <c r="AK221" s="86"/>
      <c r="AL221" s="86"/>
      <c r="AM221" s="86"/>
      <c r="AN221" s="86"/>
      <c r="AO221" s="86"/>
      <c r="AP221" s="86"/>
      <c r="AQ221" s="86"/>
      <c r="AR221" s="86"/>
      <c r="AS221" s="86"/>
      <c r="AT221" s="86"/>
      <c r="AU221" s="86"/>
      <c r="AV221" s="86"/>
    </row>
    <row r="222" spans="1:48">
      <c r="A222" s="86"/>
      <c r="B222" s="86"/>
      <c r="C222" s="86"/>
      <c r="D222" s="86"/>
      <c r="E222" s="86"/>
      <c r="F222" s="86"/>
      <c r="G222" s="86"/>
      <c r="H222" s="86"/>
      <c r="I222" s="86"/>
      <c r="J222" s="86"/>
      <c r="K222" s="86"/>
      <c r="L222" s="86"/>
      <c r="M222" s="86"/>
      <c r="N222" s="86"/>
      <c r="O222" s="86"/>
      <c r="P222" s="86"/>
      <c r="Q222" s="86"/>
      <c r="R222" s="86"/>
      <c r="S222" s="86"/>
      <c r="T222" s="106"/>
      <c r="U222" s="86"/>
      <c r="V222" s="86"/>
      <c r="W222" s="86"/>
      <c r="X222" s="86"/>
      <c r="Y222" s="86"/>
      <c r="Z222" s="86"/>
      <c r="AA222" s="86"/>
      <c r="AB222" s="86"/>
      <c r="AC222" s="86"/>
      <c r="AD222" s="86"/>
      <c r="AE222" s="86"/>
      <c r="AF222" s="512"/>
      <c r="AG222" s="86"/>
      <c r="AH222" s="86"/>
      <c r="AI222" s="86"/>
      <c r="AJ222" s="86"/>
      <c r="AK222" s="86"/>
      <c r="AL222" s="86"/>
      <c r="AM222" s="86"/>
      <c r="AN222" s="86"/>
      <c r="AO222" s="86"/>
      <c r="AP222" s="86"/>
      <c r="AQ222" s="86"/>
      <c r="AR222" s="86"/>
      <c r="AS222" s="86"/>
      <c r="AT222" s="86"/>
      <c r="AU222" s="86"/>
      <c r="AV222" s="86"/>
    </row>
    <row r="223" spans="1:48">
      <c r="A223" s="86"/>
      <c r="B223" s="86"/>
      <c r="C223" s="86"/>
      <c r="D223" s="86"/>
      <c r="E223" s="86"/>
      <c r="F223" s="86"/>
      <c r="G223" s="86"/>
      <c r="H223" s="86"/>
      <c r="I223" s="86"/>
      <c r="J223" s="86"/>
      <c r="K223" s="86"/>
      <c r="L223" s="86"/>
      <c r="M223" s="86"/>
      <c r="N223" s="86"/>
      <c r="O223" s="86"/>
      <c r="P223" s="86"/>
      <c r="Q223" s="86"/>
      <c r="R223" s="86"/>
      <c r="S223" s="86"/>
      <c r="T223" s="106"/>
      <c r="U223" s="86"/>
      <c r="V223" s="86"/>
      <c r="W223" s="86"/>
      <c r="X223" s="86"/>
      <c r="Y223" s="86"/>
      <c r="Z223" s="86"/>
      <c r="AA223" s="86"/>
      <c r="AB223" s="86"/>
      <c r="AC223" s="86"/>
      <c r="AD223" s="86"/>
      <c r="AE223" s="86"/>
      <c r="AF223" s="512"/>
      <c r="AG223" s="86"/>
      <c r="AH223" s="86"/>
      <c r="AI223" s="86"/>
      <c r="AJ223" s="86"/>
      <c r="AK223" s="86"/>
      <c r="AL223" s="86"/>
      <c r="AM223" s="86"/>
      <c r="AN223" s="86"/>
      <c r="AO223" s="86"/>
      <c r="AP223" s="86"/>
      <c r="AQ223" s="86"/>
      <c r="AR223" s="86"/>
      <c r="AS223" s="86"/>
      <c r="AT223" s="86"/>
      <c r="AU223" s="86"/>
      <c r="AV223" s="86"/>
    </row>
    <row r="224" spans="1:48">
      <c r="A224" s="86"/>
      <c r="B224" s="86"/>
      <c r="C224" s="86"/>
      <c r="D224" s="86"/>
      <c r="E224" s="86"/>
      <c r="F224" s="86"/>
      <c r="G224" s="86"/>
      <c r="H224" s="86"/>
      <c r="I224" s="86"/>
      <c r="J224" s="86"/>
      <c r="K224" s="86"/>
      <c r="L224" s="86"/>
      <c r="M224" s="86"/>
      <c r="N224" s="86"/>
      <c r="O224" s="86"/>
      <c r="P224" s="86"/>
      <c r="Q224" s="86"/>
      <c r="R224" s="86"/>
      <c r="S224" s="86"/>
      <c r="T224" s="106"/>
      <c r="U224" s="86"/>
      <c r="V224" s="86"/>
      <c r="W224" s="86"/>
      <c r="X224" s="86"/>
      <c r="Y224" s="86"/>
      <c r="Z224" s="86"/>
      <c r="AA224" s="86"/>
      <c r="AB224" s="86"/>
      <c r="AC224" s="86"/>
      <c r="AD224" s="86"/>
      <c r="AE224" s="86"/>
      <c r="AF224" s="512"/>
      <c r="AG224" s="86"/>
      <c r="AH224" s="86"/>
      <c r="AI224" s="86"/>
      <c r="AJ224" s="86"/>
      <c r="AK224" s="86"/>
      <c r="AL224" s="86"/>
      <c r="AM224" s="86"/>
      <c r="AN224" s="86"/>
      <c r="AO224" s="86"/>
      <c r="AP224" s="86"/>
      <c r="AQ224" s="86"/>
      <c r="AR224" s="86"/>
      <c r="AS224" s="86"/>
      <c r="AT224" s="86"/>
      <c r="AU224" s="86"/>
      <c r="AV224" s="86"/>
    </row>
    <row r="225" spans="1:48">
      <c r="A225" s="86"/>
      <c r="B225" s="86"/>
      <c r="C225" s="86"/>
      <c r="D225" s="86"/>
      <c r="E225" s="86"/>
      <c r="F225" s="86"/>
      <c r="G225" s="86"/>
      <c r="H225" s="86"/>
      <c r="I225" s="86"/>
      <c r="J225" s="86"/>
      <c r="K225" s="86"/>
      <c r="L225" s="86"/>
      <c r="M225" s="86"/>
      <c r="N225" s="86"/>
      <c r="O225" s="86"/>
      <c r="P225" s="86"/>
      <c r="Q225" s="86"/>
      <c r="R225" s="86"/>
      <c r="S225" s="86"/>
      <c r="T225" s="106"/>
      <c r="U225" s="86"/>
      <c r="V225" s="86"/>
      <c r="W225" s="86"/>
      <c r="X225" s="86"/>
      <c r="Y225" s="86"/>
      <c r="Z225" s="86"/>
      <c r="AA225" s="86"/>
      <c r="AB225" s="86"/>
      <c r="AC225" s="86"/>
      <c r="AD225" s="86"/>
      <c r="AE225" s="86"/>
      <c r="AF225" s="512"/>
      <c r="AG225" s="86"/>
      <c r="AH225" s="86"/>
      <c r="AI225" s="86"/>
      <c r="AJ225" s="86"/>
      <c r="AK225" s="86"/>
      <c r="AL225" s="86"/>
      <c r="AM225" s="86"/>
      <c r="AN225" s="86"/>
      <c r="AO225" s="86"/>
      <c r="AP225" s="86"/>
      <c r="AQ225" s="86"/>
      <c r="AR225" s="86"/>
      <c r="AS225" s="86"/>
      <c r="AT225" s="86"/>
      <c r="AU225" s="86"/>
      <c r="AV225" s="86"/>
    </row>
    <row r="226" spans="1:48">
      <c r="A226" s="86"/>
      <c r="B226" s="86"/>
      <c r="C226" s="86"/>
      <c r="D226" s="86"/>
      <c r="E226" s="86"/>
      <c r="F226" s="86"/>
      <c r="G226" s="86"/>
      <c r="H226" s="86"/>
      <c r="I226" s="86"/>
      <c r="J226" s="86"/>
      <c r="K226" s="86"/>
      <c r="L226" s="86"/>
      <c r="M226" s="86"/>
      <c r="N226" s="86"/>
      <c r="O226" s="86"/>
      <c r="P226" s="86"/>
      <c r="Q226" s="86"/>
      <c r="R226" s="86"/>
      <c r="S226" s="86"/>
      <c r="T226" s="106"/>
      <c r="U226" s="86"/>
      <c r="V226" s="86"/>
      <c r="W226" s="86"/>
      <c r="X226" s="86"/>
      <c r="Y226" s="86"/>
      <c r="Z226" s="86"/>
      <c r="AA226" s="86"/>
      <c r="AB226" s="86"/>
      <c r="AC226" s="86"/>
      <c r="AD226" s="86"/>
      <c r="AE226" s="86"/>
      <c r="AF226" s="512"/>
      <c r="AG226" s="86"/>
      <c r="AH226" s="86"/>
      <c r="AI226" s="86"/>
      <c r="AJ226" s="86"/>
      <c r="AK226" s="86"/>
      <c r="AL226" s="86"/>
      <c r="AM226" s="86"/>
      <c r="AN226" s="86"/>
      <c r="AO226" s="86"/>
      <c r="AP226" s="86"/>
      <c r="AQ226" s="86"/>
      <c r="AR226" s="86"/>
      <c r="AS226" s="86"/>
      <c r="AT226" s="86"/>
      <c r="AU226" s="86"/>
      <c r="AV226" s="86"/>
    </row>
    <row r="227" spans="1:48">
      <c r="A227" s="86"/>
      <c r="B227" s="86"/>
      <c r="C227" s="86"/>
      <c r="D227" s="86"/>
      <c r="E227" s="86"/>
      <c r="F227" s="86"/>
      <c r="G227" s="86"/>
      <c r="H227" s="86"/>
      <c r="I227" s="86"/>
      <c r="J227" s="86"/>
      <c r="K227" s="86"/>
      <c r="L227" s="86"/>
      <c r="M227" s="86"/>
      <c r="N227" s="86"/>
      <c r="O227" s="86"/>
      <c r="P227" s="86"/>
      <c r="Q227" s="86"/>
      <c r="R227" s="86"/>
      <c r="S227" s="86"/>
      <c r="T227" s="106"/>
      <c r="U227" s="86"/>
      <c r="V227" s="86"/>
      <c r="W227" s="86"/>
      <c r="X227" s="86"/>
      <c r="Y227" s="86"/>
      <c r="Z227" s="86"/>
      <c r="AA227" s="86"/>
      <c r="AB227" s="86"/>
      <c r="AC227" s="86"/>
      <c r="AD227" s="86"/>
      <c r="AE227" s="86"/>
      <c r="AF227" s="512"/>
      <c r="AG227" s="86"/>
      <c r="AH227" s="86"/>
      <c r="AI227" s="86"/>
      <c r="AJ227" s="86"/>
      <c r="AK227" s="86"/>
      <c r="AL227" s="86"/>
      <c r="AM227" s="86"/>
      <c r="AN227" s="86"/>
      <c r="AO227" s="86"/>
      <c r="AP227" s="86"/>
      <c r="AQ227" s="86"/>
      <c r="AR227" s="86"/>
      <c r="AS227" s="86"/>
      <c r="AT227" s="86"/>
      <c r="AU227" s="86"/>
      <c r="AV227" s="86"/>
    </row>
    <row r="228" spans="1:48">
      <c r="A228" s="86"/>
      <c r="B228" s="86"/>
      <c r="C228" s="86"/>
      <c r="D228" s="86"/>
      <c r="E228" s="86"/>
      <c r="F228" s="86"/>
      <c r="G228" s="86"/>
      <c r="H228" s="86"/>
      <c r="I228" s="86"/>
      <c r="J228" s="86"/>
      <c r="K228" s="86"/>
      <c r="L228" s="86"/>
      <c r="M228" s="86"/>
      <c r="N228" s="86"/>
      <c r="O228" s="86"/>
      <c r="P228" s="86"/>
      <c r="Q228" s="86"/>
      <c r="R228" s="86"/>
      <c r="S228" s="86"/>
      <c r="T228" s="106"/>
      <c r="U228" s="86"/>
      <c r="V228" s="86"/>
      <c r="W228" s="86"/>
      <c r="X228" s="86"/>
      <c r="Y228" s="86"/>
      <c r="Z228" s="86"/>
      <c r="AA228" s="86"/>
      <c r="AB228" s="86"/>
      <c r="AC228" s="86"/>
      <c r="AD228" s="86"/>
      <c r="AE228" s="86"/>
      <c r="AF228" s="512"/>
      <c r="AG228" s="86"/>
      <c r="AH228" s="86"/>
      <c r="AI228" s="86"/>
      <c r="AJ228" s="86"/>
      <c r="AK228" s="86"/>
      <c r="AL228" s="86"/>
      <c r="AM228" s="86"/>
      <c r="AN228" s="86"/>
      <c r="AO228" s="86"/>
      <c r="AP228" s="86"/>
      <c r="AQ228" s="86"/>
      <c r="AR228" s="86"/>
      <c r="AS228" s="86"/>
      <c r="AT228" s="86"/>
      <c r="AU228" s="86"/>
      <c r="AV228" s="86"/>
    </row>
    <row r="229" spans="1:48">
      <c r="A229" s="86"/>
      <c r="B229" s="86"/>
      <c r="C229" s="86"/>
      <c r="D229" s="86"/>
      <c r="E229" s="86"/>
      <c r="F229" s="86"/>
      <c r="G229" s="86"/>
      <c r="H229" s="86"/>
      <c r="I229" s="86"/>
      <c r="J229" s="86"/>
      <c r="K229" s="86"/>
      <c r="L229" s="86"/>
      <c r="M229" s="86"/>
      <c r="N229" s="86"/>
      <c r="O229" s="86"/>
      <c r="P229" s="86"/>
      <c r="Q229" s="86"/>
      <c r="R229" s="86"/>
      <c r="S229" s="86"/>
      <c r="T229" s="106"/>
      <c r="U229" s="86"/>
      <c r="V229" s="86"/>
      <c r="W229" s="86"/>
      <c r="X229" s="86"/>
      <c r="Y229" s="86"/>
      <c r="Z229" s="86"/>
      <c r="AA229" s="86"/>
      <c r="AB229" s="86"/>
      <c r="AC229" s="86"/>
      <c r="AD229" s="86"/>
      <c r="AE229" s="86"/>
      <c r="AF229" s="512"/>
      <c r="AG229" s="86"/>
      <c r="AH229" s="86"/>
      <c r="AI229" s="86"/>
      <c r="AJ229" s="86"/>
      <c r="AK229" s="86"/>
      <c r="AL229" s="86"/>
      <c r="AM229" s="86"/>
      <c r="AN229" s="86"/>
      <c r="AO229" s="86"/>
      <c r="AP229" s="86"/>
      <c r="AQ229" s="86"/>
      <c r="AR229" s="86"/>
      <c r="AS229" s="86"/>
      <c r="AT229" s="86"/>
      <c r="AU229" s="86"/>
      <c r="AV229" s="86"/>
    </row>
    <row r="230" spans="1:48">
      <c r="A230" s="86"/>
      <c r="B230" s="86"/>
      <c r="C230" s="86"/>
      <c r="D230" s="86"/>
      <c r="E230" s="86"/>
      <c r="F230" s="86"/>
      <c r="G230" s="86"/>
      <c r="H230" s="86"/>
      <c r="I230" s="86"/>
      <c r="J230" s="86"/>
      <c r="K230" s="86"/>
      <c r="L230" s="86"/>
      <c r="M230" s="86"/>
      <c r="N230" s="86"/>
      <c r="O230" s="86"/>
      <c r="P230" s="86"/>
      <c r="Q230" s="86"/>
      <c r="R230" s="86"/>
      <c r="S230" s="86"/>
      <c r="T230" s="106"/>
      <c r="U230" s="86"/>
      <c r="V230" s="86"/>
      <c r="W230" s="86"/>
      <c r="X230" s="86"/>
      <c r="Y230" s="86"/>
      <c r="Z230" s="86"/>
      <c r="AA230" s="86"/>
      <c r="AB230" s="86"/>
      <c r="AC230" s="86"/>
      <c r="AD230" s="86"/>
      <c r="AE230" s="86"/>
      <c r="AF230" s="512"/>
      <c r="AG230" s="86"/>
      <c r="AH230" s="86"/>
      <c r="AI230" s="86"/>
      <c r="AJ230" s="86"/>
      <c r="AK230" s="86"/>
      <c r="AL230" s="86"/>
      <c r="AM230" s="86"/>
      <c r="AN230" s="86"/>
      <c r="AO230" s="86"/>
      <c r="AP230" s="86"/>
      <c r="AQ230" s="86"/>
      <c r="AR230" s="86"/>
      <c r="AS230" s="86"/>
      <c r="AT230" s="86"/>
      <c r="AU230" s="86"/>
      <c r="AV230" s="86"/>
    </row>
    <row r="231" spans="1:48">
      <c r="A231" s="86"/>
      <c r="B231" s="86"/>
      <c r="C231" s="86"/>
      <c r="D231" s="86"/>
      <c r="E231" s="86"/>
      <c r="F231" s="86"/>
      <c r="G231" s="86"/>
      <c r="H231" s="86"/>
      <c r="I231" s="86"/>
      <c r="J231" s="86"/>
      <c r="K231" s="86"/>
      <c r="L231" s="86"/>
      <c r="M231" s="86"/>
      <c r="N231" s="86"/>
      <c r="O231" s="86"/>
      <c r="P231" s="86"/>
      <c r="Q231" s="86"/>
      <c r="R231" s="86"/>
      <c r="S231" s="86"/>
      <c r="T231" s="106"/>
      <c r="U231" s="86"/>
      <c r="V231" s="86"/>
      <c r="W231" s="86"/>
      <c r="X231" s="86"/>
      <c r="Y231" s="86"/>
      <c r="Z231" s="86"/>
      <c r="AA231" s="86"/>
      <c r="AB231" s="86"/>
      <c r="AC231" s="86"/>
      <c r="AD231" s="86"/>
      <c r="AE231" s="86"/>
      <c r="AF231" s="512"/>
      <c r="AG231" s="86"/>
      <c r="AH231" s="86"/>
      <c r="AI231" s="86"/>
      <c r="AJ231" s="86"/>
      <c r="AK231" s="86"/>
      <c r="AL231" s="86"/>
      <c r="AM231" s="86"/>
      <c r="AN231" s="86"/>
      <c r="AO231" s="86"/>
      <c r="AP231" s="86"/>
      <c r="AQ231" s="86"/>
      <c r="AR231" s="86"/>
      <c r="AS231" s="86"/>
      <c r="AT231" s="86"/>
      <c r="AU231" s="86"/>
      <c r="AV231" s="86"/>
    </row>
    <row r="232" spans="1:48">
      <c r="A232" s="86"/>
      <c r="B232" s="86"/>
      <c r="C232" s="86"/>
      <c r="D232" s="86"/>
      <c r="E232" s="86"/>
      <c r="F232" s="86"/>
      <c r="G232" s="86"/>
      <c r="H232" s="86"/>
      <c r="I232" s="86"/>
      <c r="J232" s="86"/>
      <c r="K232" s="86"/>
      <c r="L232" s="86"/>
      <c r="M232" s="86"/>
      <c r="N232" s="86"/>
      <c r="O232" s="86"/>
      <c r="P232" s="86"/>
      <c r="Q232" s="86"/>
      <c r="R232" s="86"/>
      <c r="S232" s="86"/>
      <c r="T232" s="106"/>
      <c r="U232" s="86"/>
      <c r="V232" s="86"/>
      <c r="W232" s="86"/>
      <c r="X232" s="86"/>
      <c r="Y232" s="86"/>
      <c r="Z232" s="86"/>
      <c r="AA232" s="86"/>
      <c r="AB232" s="86"/>
      <c r="AC232" s="86"/>
      <c r="AD232" s="86"/>
      <c r="AE232" s="86"/>
      <c r="AF232" s="512"/>
      <c r="AG232" s="86"/>
      <c r="AH232" s="86"/>
      <c r="AI232" s="86"/>
      <c r="AJ232" s="86"/>
      <c r="AK232" s="86"/>
      <c r="AL232" s="86"/>
      <c r="AM232" s="86"/>
      <c r="AN232" s="86"/>
      <c r="AO232" s="86"/>
      <c r="AP232" s="86"/>
      <c r="AQ232" s="86"/>
      <c r="AR232" s="86"/>
      <c r="AS232" s="86"/>
      <c r="AT232" s="86"/>
      <c r="AU232" s="86"/>
      <c r="AV232" s="86"/>
    </row>
    <row r="233" spans="1:48">
      <c r="A233" s="86"/>
      <c r="B233" s="86"/>
      <c r="C233" s="86"/>
      <c r="D233" s="86"/>
      <c r="E233" s="86"/>
      <c r="F233" s="86"/>
      <c r="G233" s="86"/>
      <c r="H233" s="86"/>
      <c r="I233" s="86"/>
      <c r="J233" s="86"/>
      <c r="K233" s="86"/>
      <c r="L233" s="86"/>
      <c r="M233" s="86"/>
      <c r="N233" s="86"/>
      <c r="O233" s="86"/>
      <c r="P233" s="86"/>
      <c r="Q233" s="86"/>
      <c r="R233" s="86"/>
      <c r="S233" s="86"/>
      <c r="T233" s="106"/>
      <c r="U233" s="86"/>
      <c r="V233" s="86"/>
      <c r="W233" s="86"/>
      <c r="X233" s="86"/>
      <c r="Y233" s="86"/>
      <c r="Z233" s="86"/>
      <c r="AA233" s="86"/>
      <c r="AB233" s="86"/>
      <c r="AC233" s="86"/>
      <c r="AD233" s="86"/>
      <c r="AE233" s="86"/>
      <c r="AF233" s="512"/>
      <c r="AG233" s="86"/>
      <c r="AH233" s="86"/>
      <c r="AI233" s="86"/>
      <c r="AJ233" s="86"/>
      <c r="AK233" s="86"/>
      <c r="AL233" s="86"/>
      <c r="AM233" s="86"/>
      <c r="AN233" s="86"/>
      <c r="AO233" s="86"/>
      <c r="AP233" s="86"/>
      <c r="AQ233" s="86"/>
      <c r="AR233" s="86"/>
      <c r="AS233" s="86"/>
      <c r="AT233" s="86"/>
      <c r="AU233" s="86"/>
      <c r="AV233" s="86"/>
    </row>
    <row r="234" spans="1:48">
      <c r="A234" s="86"/>
      <c r="B234" s="86"/>
      <c r="C234" s="86"/>
      <c r="D234" s="86"/>
      <c r="E234" s="86"/>
      <c r="F234" s="86"/>
      <c r="G234" s="86"/>
      <c r="H234" s="86"/>
      <c r="I234" s="86"/>
      <c r="J234" s="86"/>
      <c r="K234" s="86"/>
      <c r="L234" s="86"/>
      <c r="M234" s="86"/>
      <c r="N234" s="86"/>
      <c r="O234" s="86"/>
      <c r="P234" s="86"/>
      <c r="Q234" s="86"/>
      <c r="R234" s="86"/>
      <c r="S234" s="86"/>
      <c r="T234" s="106"/>
      <c r="U234" s="86"/>
      <c r="V234" s="86"/>
      <c r="W234" s="86"/>
      <c r="X234" s="86"/>
      <c r="Y234" s="86"/>
      <c r="Z234" s="86"/>
      <c r="AA234" s="86"/>
      <c r="AB234" s="86"/>
      <c r="AC234" s="86"/>
      <c r="AD234" s="86"/>
      <c r="AE234" s="86"/>
      <c r="AF234" s="512"/>
      <c r="AG234" s="86"/>
      <c r="AH234" s="86"/>
      <c r="AI234" s="86"/>
      <c r="AJ234" s="86"/>
      <c r="AK234" s="86"/>
      <c r="AL234" s="86"/>
      <c r="AM234" s="86"/>
      <c r="AN234" s="86"/>
      <c r="AO234" s="86"/>
      <c r="AP234" s="86"/>
      <c r="AQ234" s="86"/>
      <c r="AR234" s="86"/>
      <c r="AS234" s="86"/>
      <c r="AT234" s="86"/>
      <c r="AU234" s="86"/>
      <c r="AV234" s="86"/>
    </row>
    <row r="235" spans="1:48">
      <c r="A235" s="86"/>
      <c r="B235" s="86"/>
      <c r="C235" s="86"/>
      <c r="D235" s="86"/>
      <c r="E235" s="86"/>
      <c r="F235" s="86"/>
      <c r="G235" s="86"/>
      <c r="H235" s="86"/>
      <c r="I235" s="86"/>
      <c r="J235" s="86"/>
      <c r="K235" s="86"/>
      <c r="L235" s="86"/>
      <c r="M235" s="86"/>
      <c r="N235" s="86"/>
      <c r="O235" s="86"/>
      <c r="P235" s="86"/>
      <c r="Q235" s="86"/>
      <c r="R235" s="86"/>
      <c r="S235" s="86"/>
      <c r="T235" s="106"/>
      <c r="U235" s="86"/>
      <c r="V235" s="86"/>
      <c r="W235" s="86"/>
      <c r="X235" s="86"/>
      <c r="Y235" s="86"/>
      <c r="Z235" s="86"/>
      <c r="AA235" s="86"/>
      <c r="AB235" s="86"/>
      <c r="AC235" s="86"/>
      <c r="AD235" s="86"/>
      <c r="AE235" s="86"/>
      <c r="AF235" s="512"/>
      <c r="AG235" s="86"/>
      <c r="AH235" s="86"/>
      <c r="AI235" s="86"/>
      <c r="AJ235" s="86"/>
      <c r="AK235" s="86"/>
      <c r="AL235" s="86"/>
      <c r="AM235" s="86"/>
      <c r="AN235" s="86"/>
      <c r="AO235" s="86"/>
      <c r="AP235" s="86"/>
      <c r="AQ235" s="86"/>
      <c r="AR235" s="86"/>
      <c r="AS235" s="86"/>
      <c r="AT235" s="86"/>
      <c r="AU235" s="86"/>
      <c r="AV235" s="86"/>
    </row>
    <row r="236" spans="1:48">
      <c r="A236" s="86"/>
      <c r="B236" s="86"/>
      <c r="C236" s="86"/>
      <c r="D236" s="86"/>
      <c r="E236" s="86"/>
      <c r="F236" s="86"/>
      <c r="G236" s="86"/>
      <c r="H236" s="86"/>
      <c r="I236" s="86"/>
      <c r="J236" s="86"/>
      <c r="K236" s="86"/>
      <c r="L236" s="86"/>
      <c r="M236" s="86"/>
      <c r="N236" s="86"/>
      <c r="O236" s="86"/>
      <c r="P236" s="86"/>
      <c r="Q236" s="86"/>
      <c r="R236" s="86"/>
      <c r="S236" s="86"/>
      <c r="T236" s="106"/>
      <c r="U236" s="86"/>
      <c r="V236" s="86"/>
      <c r="W236" s="86"/>
      <c r="X236" s="86"/>
      <c r="Y236" s="86"/>
      <c r="Z236" s="86"/>
      <c r="AA236" s="86"/>
      <c r="AB236" s="86"/>
      <c r="AC236" s="86"/>
      <c r="AD236" s="86"/>
      <c r="AE236" s="86"/>
      <c r="AF236" s="512"/>
      <c r="AG236" s="86"/>
      <c r="AH236" s="86"/>
      <c r="AI236" s="86"/>
      <c r="AJ236" s="86"/>
      <c r="AK236" s="86"/>
      <c r="AL236" s="86"/>
      <c r="AM236" s="86"/>
      <c r="AN236" s="86"/>
      <c r="AO236" s="86"/>
      <c r="AP236" s="86"/>
      <c r="AQ236" s="86"/>
      <c r="AR236" s="86"/>
      <c r="AS236" s="86"/>
      <c r="AT236" s="86"/>
      <c r="AU236" s="86"/>
      <c r="AV236" s="86"/>
    </row>
    <row r="237" spans="1:48">
      <c r="A237" s="86"/>
      <c r="B237" s="86"/>
      <c r="C237" s="86"/>
      <c r="D237" s="86"/>
      <c r="E237" s="86"/>
      <c r="F237" s="86"/>
      <c r="G237" s="86"/>
      <c r="H237" s="86"/>
      <c r="I237" s="86"/>
      <c r="J237" s="86"/>
      <c r="K237" s="86"/>
      <c r="L237" s="86"/>
      <c r="M237" s="86"/>
      <c r="N237" s="86"/>
      <c r="O237" s="86"/>
      <c r="P237" s="86"/>
      <c r="Q237" s="86"/>
      <c r="R237" s="86"/>
      <c r="S237" s="86"/>
      <c r="T237" s="106"/>
      <c r="U237" s="86"/>
      <c r="V237" s="86"/>
      <c r="W237" s="86"/>
      <c r="X237" s="86"/>
      <c r="Y237" s="86"/>
      <c r="Z237" s="86"/>
      <c r="AA237" s="86"/>
      <c r="AB237" s="86"/>
      <c r="AC237" s="86"/>
      <c r="AD237" s="86"/>
      <c r="AE237" s="86"/>
      <c r="AF237" s="512"/>
      <c r="AG237" s="86"/>
      <c r="AH237" s="86"/>
      <c r="AI237" s="86"/>
      <c r="AJ237" s="86"/>
      <c r="AK237" s="86"/>
      <c r="AL237" s="86"/>
      <c r="AM237" s="86"/>
      <c r="AN237" s="86"/>
      <c r="AO237" s="86"/>
      <c r="AP237" s="86"/>
      <c r="AQ237" s="86"/>
      <c r="AR237" s="86"/>
      <c r="AS237" s="86"/>
      <c r="AT237" s="86"/>
      <c r="AU237" s="86"/>
      <c r="AV237" s="86"/>
    </row>
    <row r="238" spans="1:48">
      <c r="A238" s="86"/>
      <c r="B238" s="86"/>
      <c r="C238" s="86"/>
      <c r="D238" s="86"/>
      <c r="E238" s="86"/>
      <c r="F238" s="86"/>
      <c r="G238" s="86"/>
      <c r="H238" s="86"/>
      <c r="I238" s="86"/>
      <c r="J238" s="86"/>
      <c r="K238" s="86"/>
      <c r="L238" s="86"/>
      <c r="M238" s="86"/>
      <c r="N238" s="86"/>
      <c r="O238" s="86"/>
      <c r="P238" s="86"/>
      <c r="Q238" s="86"/>
      <c r="R238" s="86"/>
      <c r="S238" s="86"/>
      <c r="T238" s="106"/>
      <c r="U238" s="86"/>
      <c r="V238" s="86"/>
      <c r="W238" s="86"/>
      <c r="X238" s="86"/>
      <c r="Y238" s="86"/>
      <c r="Z238" s="86"/>
      <c r="AA238" s="86"/>
      <c r="AB238" s="86"/>
      <c r="AC238" s="86"/>
      <c r="AD238" s="86"/>
      <c r="AE238" s="86"/>
      <c r="AF238" s="512"/>
      <c r="AG238" s="86"/>
      <c r="AH238" s="86"/>
      <c r="AI238" s="86"/>
      <c r="AJ238" s="86"/>
      <c r="AK238" s="86"/>
      <c r="AL238" s="86"/>
      <c r="AM238" s="86"/>
      <c r="AN238" s="86"/>
      <c r="AO238" s="86"/>
      <c r="AP238" s="86"/>
      <c r="AQ238" s="86"/>
      <c r="AR238" s="86"/>
      <c r="AS238" s="86"/>
      <c r="AT238" s="86"/>
      <c r="AU238" s="86"/>
      <c r="AV238" s="86"/>
    </row>
    <row r="239" spans="1:48">
      <c r="A239" s="86"/>
      <c r="B239" s="86"/>
      <c r="C239" s="86"/>
      <c r="D239" s="86"/>
      <c r="E239" s="86"/>
      <c r="F239" s="86"/>
      <c r="G239" s="86"/>
      <c r="H239" s="86"/>
      <c r="I239" s="86"/>
      <c r="J239" s="86"/>
      <c r="K239" s="86"/>
      <c r="L239" s="86"/>
      <c r="M239" s="86"/>
      <c r="N239" s="86"/>
      <c r="O239" s="86"/>
      <c r="P239" s="86"/>
      <c r="Q239" s="86"/>
      <c r="R239" s="86"/>
      <c r="S239" s="86"/>
      <c r="T239" s="106"/>
      <c r="U239" s="86"/>
      <c r="V239" s="86"/>
      <c r="W239" s="86"/>
      <c r="X239" s="86"/>
      <c r="Y239" s="86"/>
      <c r="Z239" s="86"/>
      <c r="AA239" s="86"/>
      <c r="AB239" s="86"/>
      <c r="AC239" s="86"/>
      <c r="AD239" s="86"/>
      <c r="AE239" s="86"/>
      <c r="AF239" s="512"/>
      <c r="AG239" s="86"/>
      <c r="AH239" s="86"/>
      <c r="AI239" s="86"/>
      <c r="AJ239" s="86"/>
      <c r="AK239" s="86"/>
      <c r="AL239" s="86"/>
      <c r="AM239" s="86"/>
      <c r="AN239" s="86"/>
      <c r="AO239" s="86"/>
      <c r="AP239" s="86"/>
      <c r="AQ239" s="86"/>
      <c r="AR239" s="86"/>
      <c r="AS239" s="86"/>
      <c r="AT239" s="86"/>
      <c r="AU239" s="86"/>
      <c r="AV239" s="86"/>
    </row>
    <row r="240" spans="1:48">
      <c r="A240" s="86"/>
      <c r="B240" s="86"/>
      <c r="C240" s="86"/>
      <c r="D240" s="86"/>
      <c r="E240" s="86"/>
      <c r="F240" s="86"/>
      <c r="G240" s="86"/>
      <c r="H240" s="86"/>
      <c r="I240" s="86"/>
      <c r="J240" s="86"/>
      <c r="K240" s="86"/>
      <c r="L240" s="86"/>
      <c r="M240" s="86"/>
      <c r="N240" s="86"/>
      <c r="O240" s="86"/>
      <c r="P240" s="86"/>
      <c r="Q240" s="86"/>
      <c r="R240" s="86"/>
      <c r="S240" s="86"/>
      <c r="T240" s="106"/>
      <c r="U240" s="86"/>
      <c r="V240" s="86"/>
      <c r="W240" s="86"/>
      <c r="X240" s="86"/>
      <c r="Y240" s="86"/>
      <c r="Z240" s="86"/>
      <c r="AA240" s="86"/>
      <c r="AB240" s="86"/>
      <c r="AC240" s="86"/>
      <c r="AD240" s="86"/>
      <c r="AE240" s="86"/>
      <c r="AF240" s="512"/>
      <c r="AG240" s="86"/>
      <c r="AH240" s="86"/>
      <c r="AI240" s="86"/>
      <c r="AJ240" s="86"/>
      <c r="AK240" s="86"/>
      <c r="AL240" s="86"/>
      <c r="AM240" s="86"/>
      <c r="AN240" s="86"/>
      <c r="AO240" s="86"/>
      <c r="AP240" s="86"/>
      <c r="AQ240" s="86"/>
      <c r="AR240" s="86"/>
      <c r="AS240" s="86"/>
      <c r="AT240" s="86"/>
      <c r="AU240" s="86"/>
      <c r="AV240" s="86"/>
    </row>
    <row r="241" spans="1:48">
      <c r="A241" s="86"/>
      <c r="B241" s="86"/>
      <c r="C241" s="86"/>
      <c r="D241" s="86"/>
      <c r="E241" s="86"/>
      <c r="F241" s="86"/>
      <c r="G241" s="86"/>
      <c r="H241" s="86"/>
      <c r="I241" s="86"/>
      <c r="J241" s="86"/>
      <c r="K241" s="86"/>
      <c r="L241" s="86"/>
      <c r="M241" s="86"/>
      <c r="N241" s="86"/>
      <c r="O241" s="86"/>
      <c r="P241" s="86"/>
      <c r="Q241" s="86"/>
      <c r="R241" s="86"/>
      <c r="S241" s="86"/>
      <c r="T241" s="106"/>
      <c r="U241" s="86"/>
      <c r="V241" s="86"/>
      <c r="W241" s="86"/>
      <c r="X241" s="86"/>
      <c r="Y241" s="86"/>
      <c r="Z241" s="86"/>
      <c r="AA241" s="86"/>
      <c r="AB241" s="86"/>
      <c r="AC241" s="86"/>
      <c r="AD241" s="86"/>
      <c r="AE241" s="86"/>
      <c r="AF241" s="512"/>
      <c r="AG241" s="86"/>
      <c r="AH241" s="86"/>
      <c r="AI241" s="86"/>
      <c r="AJ241" s="86"/>
      <c r="AK241" s="86"/>
      <c r="AL241" s="86"/>
      <c r="AM241" s="86"/>
      <c r="AN241" s="86"/>
      <c r="AO241" s="86"/>
      <c r="AP241" s="86"/>
      <c r="AQ241" s="86"/>
      <c r="AR241" s="86"/>
      <c r="AS241" s="86"/>
      <c r="AT241" s="86"/>
      <c r="AU241" s="86"/>
      <c r="AV241" s="86"/>
    </row>
    <row r="242" spans="1:48">
      <c r="A242" s="86"/>
      <c r="B242" s="86"/>
      <c r="C242" s="86"/>
      <c r="D242" s="86"/>
      <c r="E242" s="86"/>
      <c r="F242" s="86"/>
      <c r="G242" s="86"/>
      <c r="H242" s="86"/>
      <c r="I242" s="86"/>
      <c r="J242" s="86"/>
      <c r="K242" s="86"/>
      <c r="L242" s="86"/>
      <c r="M242" s="86"/>
      <c r="N242" s="86"/>
      <c r="O242" s="86"/>
      <c r="P242" s="86"/>
      <c r="Q242" s="86"/>
      <c r="R242" s="86"/>
      <c r="S242" s="86"/>
      <c r="T242" s="106"/>
      <c r="U242" s="86"/>
      <c r="V242" s="86"/>
      <c r="W242" s="86"/>
      <c r="X242" s="86"/>
      <c r="Y242" s="86"/>
      <c r="Z242" s="86"/>
      <c r="AA242" s="86"/>
      <c r="AB242" s="86"/>
      <c r="AC242" s="86"/>
      <c r="AD242" s="86"/>
      <c r="AE242" s="86"/>
      <c r="AF242" s="512"/>
      <c r="AG242" s="86"/>
      <c r="AH242" s="86"/>
      <c r="AI242" s="86"/>
      <c r="AJ242" s="86"/>
      <c r="AK242" s="86"/>
      <c r="AL242" s="86"/>
      <c r="AM242" s="86"/>
      <c r="AN242" s="86"/>
      <c r="AO242" s="86"/>
      <c r="AP242" s="86"/>
      <c r="AQ242" s="86"/>
      <c r="AR242" s="86"/>
      <c r="AS242" s="86"/>
      <c r="AT242" s="86"/>
      <c r="AU242" s="86"/>
      <c r="AV242" s="86"/>
    </row>
    <row r="243" spans="1:48">
      <c r="A243" s="86"/>
      <c r="B243" s="86"/>
      <c r="C243" s="86"/>
      <c r="D243" s="86"/>
      <c r="E243" s="86"/>
      <c r="F243" s="86"/>
      <c r="G243" s="86"/>
      <c r="H243" s="86"/>
      <c r="I243" s="86"/>
      <c r="J243" s="86"/>
      <c r="K243" s="86"/>
      <c r="L243" s="86"/>
      <c r="M243" s="86"/>
      <c r="N243" s="86"/>
      <c r="O243" s="86"/>
      <c r="P243" s="86"/>
      <c r="Q243" s="86"/>
      <c r="R243" s="86"/>
      <c r="S243" s="86"/>
      <c r="T243" s="106"/>
      <c r="U243" s="86"/>
      <c r="V243" s="86"/>
      <c r="W243" s="86"/>
      <c r="X243" s="86"/>
      <c r="Y243" s="86"/>
      <c r="Z243" s="86"/>
      <c r="AA243" s="86"/>
      <c r="AB243" s="86"/>
      <c r="AC243" s="86"/>
      <c r="AD243" s="86"/>
      <c r="AE243" s="86"/>
      <c r="AF243" s="512"/>
      <c r="AG243" s="86"/>
      <c r="AH243" s="86"/>
      <c r="AI243" s="86"/>
      <c r="AJ243" s="86"/>
      <c r="AK243" s="86"/>
      <c r="AL243" s="86"/>
      <c r="AM243" s="86"/>
      <c r="AN243" s="86"/>
      <c r="AO243" s="86"/>
      <c r="AP243" s="86"/>
      <c r="AQ243" s="86"/>
      <c r="AR243" s="86"/>
      <c r="AS243" s="86"/>
      <c r="AT243" s="86"/>
      <c r="AU243" s="86"/>
      <c r="AV243" s="86"/>
    </row>
    <row r="244" spans="1:48">
      <c r="A244" s="86"/>
      <c r="B244" s="86"/>
      <c r="C244" s="86"/>
      <c r="D244" s="86"/>
      <c r="E244" s="86"/>
      <c r="F244" s="86"/>
      <c r="G244" s="86"/>
      <c r="H244" s="86"/>
      <c r="I244" s="86"/>
      <c r="J244" s="86"/>
      <c r="K244" s="86"/>
      <c r="L244" s="86"/>
      <c r="M244" s="86"/>
      <c r="N244" s="86"/>
      <c r="O244" s="86"/>
      <c r="P244" s="86"/>
      <c r="Q244" s="86"/>
      <c r="R244" s="86"/>
      <c r="S244" s="86"/>
      <c r="T244" s="106"/>
      <c r="U244" s="86"/>
      <c r="V244" s="86"/>
      <c r="W244" s="86"/>
      <c r="X244" s="86"/>
      <c r="Y244" s="86"/>
      <c r="Z244" s="86"/>
      <c r="AA244" s="86"/>
      <c r="AB244" s="86"/>
      <c r="AC244" s="86"/>
      <c r="AD244" s="86"/>
      <c r="AE244" s="86"/>
      <c r="AF244" s="512"/>
      <c r="AG244" s="86"/>
      <c r="AH244" s="86"/>
      <c r="AI244" s="86"/>
      <c r="AJ244" s="86"/>
      <c r="AK244" s="86"/>
      <c r="AL244" s="86"/>
      <c r="AM244" s="86"/>
      <c r="AN244" s="86"/>
      <c r="AO244" s="86"/>
      <c r="AP244" s="86"/>
      <c r="AQ244" s="86"/>
      <c r="AR244" s="86"/>
      <c r="AS244" s="86"/>
      <c r="AT244" s="86"/>
      <c r="AU244" s="86"/>
      <c r="AV244" s="86"/>
    </row>
    <row r="245" spans="1:48">
      <c r="A245" s="86"/>
      <c r="B245" s="86"/>
      <c r="C245" s="86"/>
      <c r="D245" s="86"/>
      <c r="E245" s="86"/>
      <c r="F245" s="86"/>
      <c r="G245" s="86"/>
      <c r="H245" s="86"/>
      <c r="I245" s="86"/>
      <c r="J245" s="86"/>
      <c r="K245" s="86"/>
      <c r="L245" s="86"/>
      <c r="M245" s="86"/>
      <c r="N245" s="86"/>
      <c r="O245" s="86"/>
      <c r="P245" s="86"/>
      <c r="Q245" s="86"/>
      <c r="R245" s="86"/>
      <c r="S245" s="86"/>
      <c r="T245" s="106"/>
      <c r="U245" s="86"/>
      <c r="V245" s="86"/>
      <c r="W245" s="86"/>
      <c r="X245" s="86"/>
      <c r="Y245" s="86"/>
      <c r="Z245" s="86"/>
      <c r="AA245" s="86"/>
      <c r="AB245" s="86"/>
      <c r="AC245" s="86"/>
      <c r="AD245" s="86"/>
      <c r="AE245" s="86"/>
      <c r="AF245" s="512"/>
      <c r="AG245" s="86"/>
      <c r="AH245" s="86"/>
      <c r="AI245" s="86"/>
      <c r="AJ245" s="86"/>
      <c r="AK245" s="86"/>
      <c r="AL245" s="86"/>
      <c r="AM245" s="86"/>
      <c r="AN245" s="86"/>
      <c r="AO245" s="86"/>
      <c r="AP245" s="86"/>
      <c r="AQ245" s="86"/>
      <c r="AR245" s="86"/>
      <c r="AS245" s="86"/>
      <c r="AT245" s="86"/>
      <c r="AU245" s="86"/>
      <c r="AV245" s="86"/>
    </row>
    <row r="246" spans="1:48">
      <c r="A246" s="86"/>
      <c r="B246" s="86"/>
      <c r="C246" s="86"/>
      <c r="D246" s="86"/>
      <c r="E246" s="86"/>
      <c r="F246" s="86"/>
      <c r="G246" s="86"/>
      <c r="H246" s="86"/>
      <c r="I246" s="86"/>
      <c r="J246" s="86"/>
      <c r="K246" s="86"/>
      <c r="L246" s="86"/>
      <c r="M246" s="86"/>
      <c r="N246" s="86"/>
      <c r="O246" s="86"/>
      <c r="P246" s="86"/>
      <c r="Q246" s="86"/>
      <c r="R246" s="86"/>
      <c r="S246" s="86"/>
      <c r="T246" s="106"/>
      <c r="U246" s="86"/>
      <c r="V246" s="86"/>
      <c r="W246" s="86"/>
      <c r="X246" s="86"/>
      <c r="Y246" s="86"/>
      <c r="Z246" s="86"/>
      <c r="AA246" s="86"/>
      <c r="AB246" s="86"/>
      <c r="AC246" s="86"/>
      <c r="AD246" s="86"/>
      <c r="AE246" s="86"/>
      <c r="AF246" s="512"/>
      <c r="AG246" s="86"/>
      <c r="AH246" s="86"/>
      <c r="AI246" s="86"/>
      <c r="AJ246" s="86"/>
      <c r="AK246" s="86"/>
      <c r="AL246" s="86"/>
      <c r="AM246" s="86"/>
      <c r="AN246" s="86"/>
      <c r="AO246" s="86"/>
      <c r="AP246" s="86"/>
      <c r="AQ246" s="86"/>
      <c r="AR246" s="86"/>
      <c r="AS246" s="86"/>
      <c r="AT246" s="86"/>
      <c r="AU246" s="86"/>
      <c r="AV246" s="86"/>
    </row>
    <row r="247" spans="1:48">
      <c r="A247" s="86"/>
      <c r="B247" s="86"/>
      <c r="C247" s="86"/>
      <c r="D247" s="86"/>
      <c r="E247" s="86"/>
      <c r="F247" s="86"/>
      <c r="G247" s="86"/>
      <c r="H247" s="86"/>
      <c r="I247" s="86"/>
      <c r="J247" s="86"/>
      <c r="K247" s="86"/>
      <c r="L247" s="86"/>
      <c r="M247" s="86"/>
      <c r="N247" s="86"/>
      <c r="O247" s="86"/>
      <c r="P247" s="86"/>
      <c r="Q247" s="86"/>
      <c r="R247" s="86"/>
      <c r="S247" s="86"/>
      <c r="T247" s="106"/>
      <c r="U247" s="86"/>
      <c r="V247" s="86"/>
      <c r="W247" s="86"/>
      <c r="X247" s="86"/>
      <c r="Y247" s="86"/>
      <c r="Z247" s="86"/>
      <c r="AA247" s="86"/>
      <c r="AB247" s="86"/>
      <c r="AC247" s="86"/>
      <c r="AD247" s="86"/>
      <c r="AE247" s="86"/>
      <c r="AF247" s="512"/>
      <c r="AG247" s="86"/>
      <c r="AH247" s="86"/>
      <c r="AI247" s="86"/>
      <c r="AJ247" s="86"/>
      <c r="AK247" s="86"/>
      <c r="AL247" s="86"/>
      <c r="AM247" s="86"/>
      <c r="AN247" s="86"/>
      <c r="AO247" s="86"/>
      <c r="AP247" s="86"/>
      <c r="AQ247" s="86"/>
      <c r="AR247" s="86"/>
      <c r="AS247" s="86"/>
      <c r="AT247" s="86"/>
      <c r="AU247" s="86"/>
      <c r="AV247" s="86"/>
    </row>
    <row r="248" spans="1:48">
      <c r="A248" s="86"/>
      <c r="B248" s="86"/>
      <c r="C248" s="86"/>
      <c r="D248" s="86"/>
      <c r="E248" s="86"/>
      <c r="F248" s="86"/>
      <c r="G248" s="86"/>
      <c r="H248" s="86"/>
      <c r="I248" s="86"/>
      <c r="J248" s="86"/>
      <c r="K248" s="86"/>
      <c r="L248" s="86"/>
      <c r="M248" s="86"/>
      <c r="N248" s="86"/>
      <c r="O248" s="86"/>
      <c r="P248" s="86"/>
      <c r="Q248" s="86"/>
      <c r="R248" s="86"/>
      <c r="S248" s="86"/>
      <c r="T248" s="106"/>
      <c r="U248" s="86"/>
      <c r="V248" s="86"/>
      <c r="W248" s="86"/>
      <c r="X248" s="86"/>
      <c r="Y248" s="86"/>
      <c r="Z248" s="86"/>
      <c r="AA248" s="86"/>
      <c r="AB248" s="86"/>
      <c r="AC248" s="86"/>
      <c r="AD248" s="86"/>
      <c r="AE248" s="86"/>
      <c r="AF248" s="512"/>
      <c r="AG248" s="86"/>
      <c r="AH248" s="86"/>
      <c r="AI248" s="86"/>
      <c r="AJ248" s="86"/>
      <c r="AK248" s="86"/>
      <c r="AL248" s="86"/>
      <c r="AM248" s="86"/>
      <c r="AN248" s="86"/>
      <c r="AO248" s="86"/>
      <c r="AP248" s="86"/>
      <c r="AQ248" s="86"/>
      <c r="AR248" s="86"/>
      <c r="AS248" s="86"/>
      <c r="AT248" s="86"/>
      <c r="AU248" s="86"/>
      <c r="AV248" s="86"/>
    </row>
    <row r="249" spans="1:48">
      <c r="A249" s="86"/>
      <c r="B249" s="86"/>
      <c r="C249" s="86"/>
      <c r="D249" s="86"/>
      <c r="E249" s="86"/>
      <c r="F249" s="86"/>
      <c r="G249" s="86"/>
      <c r="H249" s="86"/>
      <c r="I249" s="86"/>
      <c r="J249" s="86"/>
      <c r="K249" s="86"/>
      <c r="L249" s="86"/>
      <c r="M249" s="86"/>
      <c r="N249" s="86"/>
      <c r="O249" s="86"/>
      <c r="P249" s="86"/>
      <c r="Q249" s="86"/>
      <c r="R249" s="86"/>
      <c r="S249" s="86"/>
      <c r="T249" s="106"/>
      <c r="U249" s="86"/>
      <c r="V249" s="86"/>
      <c r="W249" s="86"/>
      <c r="X249" s="86"/>
      <c r="Y249" s="86"/>
      <c r="Z249" s="86"/>
      <c r="AA249" s="86"/>
      <c r="AB249" s="86"/>
      <c r="AC249" s="86"/>
      <c r="AD249" s="86"/>
      <c r="AE249" s="86"/>
      <c r="AF249" s="512"/>
      <c r="AG249" s="86"/>
      <c r="AH249" s="86"/>
      <c r="AI249" s="86"/>
      <c r="AJ249" s="86"/>
      <c r="AK249" s="86"/>
      <c r="AL249" s="86"/>
      <c r="AM249" s="86"/>
      <c r="AN249" s="86"/>
      <c r="AO249" s="86"/>
      <c r="AP249" s="86"/>
      <c r="AQ249" s="86"/>
      <c r="AR249" s="86"/>
      <c r="AS249" s="86"/>
      <c r="AT249" s="86"/>
      <c r="AU249" s="86"/>
      <c r="AV249" s="86"/>
    </row>
    <row r="250" spans="1:48">
      <c r="A250" s="86"/>
      <c r="B250" s="86"/>
      <c r="C250" s="86"/>
      <c r="D250" s="86"/>
      <c r="E250" s="86"/>
      <c r="F250" s="86"/>
      <c r="G250" s="86"/>
      <c r="H250" s="86"/>
      <c r="I250" s="86"/>
      <c r="J250" s="86"/>
      <c r="K250" s="86"/>
      <c r="L250" s="86"/>
      <c r="M250" s="86"/>
      <c r="N250" s="86"/>
      <c r="O250" s="86"/>
      <c r="P250" s="86"/>
      <c r="Q250" s="86"/>
      <c r="R250" s="86"/>
      <c r="S250" s="86"/>
      <c r="T250" s="106"/>
      <c r="U250" s="86"/>
      <c r="V250" s="86"/>
      <c r="W250" s="86"/>
      <c r="X250" s="86"/>
      <c r="Y250" s="86"/>
      <c r="Z250" s="86"/>
      <c r="AA250" s="86"/>
      <c r="AB250" s="86"/>
      <c r="AC250" s="86"/>
      <c r="AD250" s="86"/>
      <c r="AE250" s="86"/>
      <c r="AF250" s="512"/>
      <c r="AG250" s="86"/>
      <c r="AH250" s="86"/>
      <c r="AI250" s="86"/>
      <c r="AJ250" s="86"/>
      <c r="AK250" s="86"/>
      <c r="AL250" s="86"/>
      <c r="AM250" s="86"/>
      <c r="AN250" s="86"/>
      <c r="AO250" s="86"/>
      <c r="AP250" s="86"/>
      <c r="AQ250" s="86"/>
      <c r="AR250" s="86"/>
      <c r="AS250" s="86"/>
      <c r="AT250" s="86"/>
      <c r="AU250" s="86"/>
      <c r="AV250" s="86"/>
    </row>
    <row r="251" spans="1:48">
      <c r="A251" s="86"/>
      <c r="B251" s="86"/>
      <c r="C251" s="86"/>
      <c r="D251" s="86"/>
      <c r="E251" s="86"/>
      <c r="F251" s="86"/>
      <c r="G251" s="86"/>
      <c r="H251" s="86"/>
      <c r="I251" s="86"/>
      <c r="J251" s="86"/>
      <c r="K251" s="86"/>
      <c r="L251" s="86"/>
      <c r="M251" s="86"/>
      <c r="N251" s="86"/>
      <c r="O251" s="86"/>
      <c r="P251" s="86"/>
      <c r="Q251" s="86"/>
      <c r="R251" s="86"/>
      <c r="S251" s="86"/>
      <c r="T251" s="106"/>
      <c r="U251" s="86"/>
      <c r="V251" s="86"/>
      <c r="W251" s="86"/>
      <c r="X251" s="86"/>
      <c r="Y251" s="86"/>
      <c r="Z251" s="86"/>
      <c r="AA251" s="86"/>
      <c r="AB251" s="86"/>
      <c r="AC251" s="86"/>
      <c r="AD251" s="86"/>
      <c r="AE251" s="86"/>
      <c r="AF251" s="512"/>
      <c r="AG251" s="86"/>
      <c r="AH251" s="86"/>
      <c r="AI251" s="86"/>
      <c r="AJ251" s="86"/>
      <c r="AK251" s="86"/>
      <c r="AL251" s="86"/>
      <c r="AM251" s="86"/>
      <c r="AN251" s="86"/>
      <c r="AO251" s="86"/>
      <c r="AP251" s="86"/>
      <c r="AQ251" s="86"/>
      <c r="AR251" s="86"/>
      <c r="AS251" s="86"/>
      <c r="AT251" s="86"/>
      <c r="AU251" s="86"/>
      <c r="AV251" s="86"/>
    </row>
    <row r="252" spans="1:48">
      <c r="A252" s="86"/>
      <c r="B252" s="86"/>
      <c r="C252" s="86"/>
      <c r="D252" s="86"/>
      <c r="E252" s="86"/>
      <c r="F252" s="86"/>
      <c r="G252" s="86"/>
      <c r="H252" s="86"/>
      <c r="I252" s="86"/>
      <c r="J252" s="86"/>
      <c r="K252" s="86"/>
      <c r="L252" s="86"/>
      <c r="M252" s="86"/>
      <c r="N252" s="86"/>
      <c r="O252" s="86"/>
      <c r="P252" s="86"/>
      <c r="Q252" s="86"/>
      <c r="R252" s="86"/>
      <c r="S252" s="86"/>
      <c r="T252" s="106"/>
      <c r="U252" s="86"/>
      <c r="V252" s="86"/>
      <c r="W252" s="86"/>
      <c r="X252" s="86"/>
      <c r="Y252" s="86"/>
      <c r="Z252" s="86"/>
      <c r="AA252" s="86"/>
      <c r="AB252" s="86"/>
      <c r="AC252" s="86"/>
      <c r="AD252" s="86"/>
      <c r="AE252" s="86"/>
      <c r="AF252" s="512"/>
      <c r="AG252" s="86"/>
      <c r="AH252" s="86"/>
      <c r="AI252" s="86"/>
      <c r="AJ252" s="86"/>
      <c r="AK252" s="86"/>
      <c r="AL252" s="86"/>
      <c r="AM252" s="86"/>
      <c r="AN252" s="86"/>
      <c r="AO252" s="86"/>
      <c r="AP252" s="86"/>
      <c r="AQ252" s="86"/>
      <c r="AR252" s="86"/>
      <c r="AS252" s="86"/>
      <c r="AT252" s="86"/>
      <c r="AU252" s="86"/>
      <c r="AV252" s="86"/>
    </row>
    <row r="253" spans="1:48">
      <c r="A253" s="86"/>
      <c r="B253" s="86"/>
      <c r="C253" s="86"/>
      <c r="D253" s="86"/>
      <c r="E253" s="86"/>
      <c r="F253" s="86"/>
      <c r="G253" s="86"/>
      <c r="H253" s="86"/>
      <c r="I253" s="86"/>
      <c r="J253" s="86"/>
      <c r="K253" s="86"/>
      <c r="L253" s="86"/>
      <c r="M253" s="86"/>
      <c r="N253" s="86"/>
      <c r="O253" s="86"/>
      <c r="P253" s="86"/>
      <c r="Q253" s="86"/>
      <c r="R253" s="86"/>
      <c r="S253" s="86"/>
      <c r="T253" s="106"/>
      <c r="U253" s="86"/>
      <c r="V253" s="86"/>
      <c r="W253" s="86"/>
      <c r="X253" s="86"/>
      <c r="Y253" s="86"/>
      <c r="Z253" s="86"/>
      <c r="AA253" s="86"/>
      <c r="AB253" s="86"/>
      <c r="AC253" s="86"/>
      <c r="AD253" s="86"/>
      <c r="AE253" s="86"/>
      <c r="AF253" s="512"/>
      <c r="AG253" s="86"/>
      <c r="AH253" s="86"/>
      <c r="AI253" s="86"/>
      <c r="AJ253" s="86"/>
      <c r="AK253" s="86"/>
      <c r="AL253" s="86"/>
      <c r="AM253" s="86"/>
      <c r="AN253" s="86"/>
      <c r="AO253" s="86"/>
      <c r="AP253" s="86"/>
      <c r="AQ253" s="86"/>
      <c r="AR253" s="86"/>
      <c r="AS253" s="86"/>
      <c r="AT253" s="86"/>
      <c r="AU253" s="86"/>
      <c r="AV253" s="86"/>
    </row>
    <row r="254" spans="1:48">
      <c r="A254" s="86"/>
      <c r="B254" s="86"/>
      <c r="C254" s="86"/>
      <c r="D254" s="86"/>
      <c r="E254" s="86"/>
      <c r="F254" s="86"/>
      <c r="G254" s="86"/>
      <c r="H254" s="86"/>
      <c r="I254" s="86"/>
      <c r="J254" s="86"/>
      <c r="K254" s="86"/>
      <c r="L254" s="86"/>
      <c r="M254" s="86"/>
      <c r="N254" s="86"/>
      <c r="O254" s="86"/>
      <c r="P254" s="86"/>
      <c r="Q254" s="86"/>
      <c r="R254" s="86"/>
      <c r="S254" s="86"/>
      <c r="T254" s="106"/>
      <c r="U254" s="86"/>
      <c r="V254" s="86"/>
      <c r="W254" s="86"/>
      <c r="X254" s="86"/>
      <c r="Y254" s="86"/>
      <c r="Z254" s="86"/>
      <c r="AA254" s="86"/>
      <c r="AB254" s="86"/>
      <c r="AC254" s="86"/>
      <c r="AD254" s="86"/>
      <c r="AE254" s="86"/>
      <c r="AF254" s="512"/>
      <c r="AG254" s="86"/>
      <c r="AH254" s="86"/>
      <c r="AI254" s="86"/>
      <c r="AJ254" s="86"/>
      <c r="AK254" s="86"/>
      <c r="AL254" s="86"/>
      <c r="AM254" s="86"/>
      <c r="AN254" s="86"/>
      <c r="AO254" s="86"/>
      <c r="AP254" s="86"/>
      <c r="AQ254" s="86"/>
      <c r="AR254" s="86"/>
      <c r="AS254" s="86"/>
      <c r="AT254" s="86"/>
      <c r="AU254" s="86"/>
      <c r="AV254" s="86"/>
    </row>
    <row r="255" spans="1:48">
      <c r="A255" s="86"/>
      <c r="B255" s="86"/>
      <c r="C255" s="86"/>
      <c r="D255" s="86"/>
      <c r="E255" s="86"/>
      <c r="F255" s="86"/>
      <c r="G255" s="86"/>
      <c r="H255" s="86"/>
      <c r="I255" s="86"/>
      <c r="J255" s="86"/>
      <c r="K255" s="86"/>
      <c r="L255" s="86"/>
      <c r="M255" s="86"/>
      <c r="N255" s="86"/>
      <c r="O255" s="86"/>
      <c r="P255" s="86"/>
      <c r="Q255" s="86"/>
      <c r="R255" s="86"/>
      <c r="S255" s="86"/>
      <c r="T255" s="106"/>
      <c r="U255" s="86"/>
      <c r="V255" s="86"/>
      <c r="W255" s="86"/>
      <c r="X255" s="86"/>
      <c r="Y255" s="86"/>
      <c r="Z255" s="86"/>
      <c r="AA255" s="86"/>
      <c r="AB255" s="86"/>
      <c r="AC255" s="86"/>
      <c r="AD255" s="86"/>
      <c r="AE255" s="86"/>
      <c r="AF255" s="512"/>
      <c r="AG255" s="86"/>
      <c r="AH255" s="86"/>
      <c r="AI255" s="86"/>
      <c r="AJ255" s="86"/>
      <c r="AK255" s="86"/>
      <c r="AL255" s="86"/>
      <c r="AM255" s="86"/>
      <c r="AN255" s="86"/>
      <c r="AO255" s="86"/>
      <c r="AP255" s="86"/>
      <c r="AQ255" s="86"/>
      <c r="AR255" s="86"/>
      <c r="AS255" s="86"/>
      <c r="AT255" s="86"/>
      <c r="AU255" s="86"/>
      <c r="AV255" s="86"/>
    </row>
    <row r="256" spans="1:48">
      <c r="A256" s="86"/>
      <c r="B256" s="86"/>
      <c r="C256" s="86"/>
      <c r="D256" s="86"/>
      <c r="E256" s="86"/>
      <c r="F256" s="86"/>
      <c r="G256" s="86"/>
      <c r="H256" s="86"/>
      <c r="I256" s="86"/>
      <c r="J256" s="86"/>
      <c r="K256" s="86"/>
      <c r="L256" s="86"/>
      <c r="M256" s="86"/>
      <c r="N256" s="86"/>
      <c r="O256" s="86"/>
      <c r="P256" s="86"/>
      <c r="Q256" s="86"/>
      <c r="R256" s="86"/>
      <c r="S256" s="86"/>
      <c r="T256" s="106"/>
      <c r="U256" s="86"/>
      <c r="V256" s="86"/>
      <c r="W256" s="86"/>
      <c r="X256" s="86"/>
      <c r="Y256" s="86"/>
      <c r="Z256" s="86"/>
      <c r="AA256" s="86"/>
      <c r="AB256" s="86"/>
      <c r="AC256" s="86"/>
      <c r="AD256" s="86"/>
      <c r="AE256" s="86"/>
      <c r="AF256" s="512"/>
      <c r="AG256" s="86"/>
      <c r="AH256" s="86"/>
      <c r="AI256" s="86"/>
      <c r="AJ256" s="86"/>
      <c r="AK256" s="86"/>
      <c r="AL256" s="86"/>
      <c r="AM256" s="86"/>
      <c r="AN256" s="86"/>
      <c r="AO256" s="86"/>
      <c r="AP256" s="86"/>
      <c r="AQ256" s="86"/>
      <c r="AR256" s="86"/>
      <c r="AS256" s="86"/>
      <c r="AT256" s="86"/>
      <c r="AU256" s="86"/>
      <c r="AV256" s="86"/>
    </row>
    <row r="257" spans="1:48">
      <c r="A257" s="86"/>
      <c r="B257" s="86"/>
      <c r="C257" s="86"/>
      <c r="D257" s="86"/>
      <c r="E257" s="86"/>
      <c r="F257" s="86"/>
      <c r="G257" s="86"/>
      <c r="H257" s="86"/>
      <c r="I257" s="86"/>
      <c r="J257" s="86"/>
      <c r="K257" s="86"/>
      <c r="L257" s="86"/>
      <c r="M257" s="86"/>
      <c r="N257" s="86"/>
      <c r="O257" s="86"/>
      <c r="P257" s="86"/>
      <c r="Q257" s="86"/>
      <c r="R257" s="86"/>
      <c r="S257" s="86"/>
      <c r="T257" s="106"/>
      <c r="U257" s="86"/>
      <c r="V257" s="86"/>
      <c r="W257" s="86"/>
      <c r="X257" s="86"/>
      <c r="Y257" s="86"/>
      <c r="Z257" s="86"/>
      <c r="AA257" s="86"/>
      <c r="AB257" s="86"/>
      <c r="AC257" s="86"/>
      <c r="AD257" s="86"/>
      <c r="AE257" s="86"/>
      <c r="AF257" s="512"/>
      <c r="AG257" s="86"/>
      <c r="AH257" s="86"/>
      <c r="AI257" s="86"/>
      <c r="AJ257" s="86"/>
      <c r="AK257" s="86"/>
      <c r="AL257" s="86"/>
      <c r="AM257" s="86"/>
      <c r="AN257" s="86"/>
      <c r="AO257" s="86"/>
      <c r="AP257" s="86"/>
      <c r="AQ257" s="86"/>
      <c r="AR257" s="86"/>
      <c r="AS257" s="86"/>
      <c r="AT257" s="86"/>
      <c r="AU257" s="86"/>
      <c r="AV257" s="86"/>
    </row>
    <row r="258" spans="1:48">
      <c r="A258" s="86"/>
      <c r="B258" s="86"/>
      <c r="C258" s="86"/>
      <c r="D258" s="86"/>
      <c r="E258" s="86"/>
      <c r="F258" s="86"/>
      <c r="G258" s="86"/>
      <c r="H258" s="86"/>
      <c r="I258" s="86"/>
      <c r="J258" s="86"/>
      <c r="K258" s="86"/>
      <c r="L258" s="86"/>
      <c r="M258" s="86"/>
      <c r="N258" s="86"/>
      <c r="O258" s="86"/>
      <c r="P258" s="86"/>
      <c r="Q258" s="86"/>
      <c r="R258" s="86"/>
      <c r="S258" s="86"/>
      <c r="T258" s="106"/>
      <c r="U258" s="86"/>
      <c r="V258" s="86"/>
      <c r="W258" s="86"/>
      <c r="X258" s="86"/>
      <c r="Y258" s="86"/>
      <c r="Z258" s="86"/>
      <c r="AA258" s="86"/>
      <c r="AB258" s="86"/>
      <c r="AC258" s="86"/>
      <c r="AD258" s="86"/>
      <c r="AE258" s="86"/>
      <c r="AF258" s="512"/>
      <c r="AG258" s="86"/>
      <c r="AH258" s="86"/>
      <c r="AI258" s="86"/>
      <c r="AJ258" s="86"/>
      <c r="AK258" s="86"/>
      <c r="AL258" s="86"/>
      <c r="AM258" s="86"/>
      <c r="AN258" s="86"/>
      <c r="AO258" s="86"/>
      <c r="AP258" s="86"/>
      <c r="AQ258" s="86"/>
      <c r="AR258" s="86"/>
      <c r="AS258" s="86"/>
      <c r="AT258" s="86"/>
      <c r="AU258" s="86"/>
      <c r="AV258" s="86"/>
    </row>
    <row r="259" spans="1:48">
      <c r="A259" s="86"/>
      <c r="B259" s="86"/>
      <c r="C259" s="86"/>
      <c r="D259" s="86"/>
      <c r="E259" s="86"/>
      <c r="F259" s="86"/>
      <c r="G259" s="86"/>
      <c r="H259" s="86"/>
      <c r="I259" s="86"/>
      <c r="J259" s="86"/>
      <c r="K259" s="86"/>
      <c r="L259" s="86"/>
      <c r="M259" s="86"/>
      <c r="N259" s="86"/>
      <c r="O259" s="86"/>
      <c r="P259" s="86"/>
      <c r="Q259" s="86"/>
      <c r="R259" s="86"/>
      <c r="S259" s="86"/>
      <c r="T259" s="106"/>
      <c r="U259" s="86"/>
      <c r="V259" s="86"/>
      <c r="W259" s="86"/>
      <c r="X259" s="86"/>
      <c r="Y259" s="86"/>
      <c r="Z259" s="86"/>
      <c r="AA259" s="86"/>
      <c r="AB259" s="86"/>
      <c r="AC259" s="86"/>
      <c r="AD259" s="86"/>
      <c r="AE259" s="86"/>
      <c r="AF259" s="512"/>
      <c r="AG259" s="86"/>
      <c r="AH259" s="86"/>
      <c r="AI259" s="86"/>
      <c r="AJ259" s="86"/>
      <c r="AK259" s="86"/>
      <c r="AL259" s="86"/>
      <c r="AM259" s="86"/>
      <c r="AN259" s="86"/>
      <c r="AO259" s="86"/>
      <c r="AP259" s="86"/>
      <c r="AQ259" s="86"/>
      <c r="AR259" s="86"/>
      <c r="AS259" s="86"/>
      <c r="AT259" s="86"/>
      <c r="AU259" s="86"/>
      <c r="AV259" s="86"/>
    </row>
    <row r="260" spans="1:48">
      <c r="A260" s="86"/>
      <c r="B260" s="86"/>
      <c r="C260" s="86"/>
      <c r="D260" s="86"/>
      <c r="E260" s="86"/>
      <c r="F260" s="86"/>
      <c r="G260" s="86"/>
      <c r="H260" s="86"/>
      <c r="I260" s="86"/>
      <c r="J260" s="86"/>
      <c r="K260" s="86"/>
      <c r="L260" s="86"/>
      <c r="M260" s="86"/>
      <c r="N260" s="86"/>
      <c r="O260" s="86"/>
      <c r="P260" s="86"/>
      <c r="Q260" s="86"/>
      <c r="R260" s="86"/>
      <c r="S260" s="86"/>
      <c r="T260" s="106"/>
      <c r="U260" s="86"/>
      <c r="V260" s="86"/>
      <c r="W260" s="86"/>
      <c r="X260" s="86"/>
      <c r="Y260" s="86"/>
      <c r="Z260" s="86"/>
      <c r="AA260" s="86"/>
      <c r="AB260" s="86"/>
      <c r="AC260" s="86"/>
      <c r="AD260" s="86"/>
      <c r="AE260" s="86"/>
      <c r="AF260" s="512"/>
      <c r="AG260" s="86"/>
      <c r="AH260" s="86"/>
      <c r="AI260" s="86"/>
      <c r="AJ260" s="86"/>
      <c r="AK260" s="86"/>
      <c r="AL260" s="86"/>
      <c r="AM260" s="86"/>
      <c r="AN260" s="86"/>
      <c r="AO260" s="86"/>
      <c r="AP260" s="86"/>
      <c r="AQ260" s="86"/>
      <c r="AR260" s="86"/>
      <c r="AS260" s="86"/>
      <c r="AT260" s="86"/>
      <c r="AU260" s="86"/>
      <c r="AV260" s="86"/>
    </row>
    <row r="261" spans="1:48">
      <c r="A261" s="86"/>
      <c r="B261" s="86"/>
      <c r="C261" s="86"/>
      <c r="D261" s="86"/>
      <c r="E261" s="86"/>
      <c r="F261" s="86"/>
      <c r="G261" s="86"/>
      <c r="H261" s="86"/>
      <c r="I261" s="86"/>
      <c r="J261" s="86"/>
      <c r="K261" s="86"/>
      <c r="L261" s="86"/>
      <c r="M261" s="86"/>
      <c r="N261" s="86"/>
      <c r="O261" s="86"/>
      <c r="P261" s="86"/>
      <c r="Q261" s="86"/>
      <c r="R261" s="86"/>
      <c r="S261" s="86"/>
      <c r="T261" s="106"/>
      <c r="U261" s="86"/>
      <c r="V261" s="86"/>
      <c r="W261" s="86"/>
      <c r="X261" s="86"/>
      <c r="Y261" s="86"/>
      <c r="Z261" s="86"/>
      <c r="AA261" s="86"/>
      <c r="AB261" s="86"/>
      <c r="AC261" s="86"/>
      <c r="AD261" s="86"/>
      <c r="AE261" s="86"/>
      <c r="AF261" s="512"/>
      <c r="AG261" s="86"/>
      <c r="AH261" s="86"/>
      <c r="AI261" s="86"/>
      <c r="AJ261" s="86"/>
      <c r="AK261" s="86"/>
      <c r="AL261" s="86"/>
      <c r="AM261" s="86"/>
      <c r="AN261" s="86"/>
      <c r="AO261" s="86"/>
      <c r="AP261" s="86"/>
      <c r="AQ261" s="86"/>
      <c r="AR261" s="86"/>
      <c r="AS261" s="86"/>
      <c r="AT261" s="86"/>
      <c r="AU261" s="86"/>
      <c r="AV261" s="86"/>
    </row>
    <row r="262" spans="1:48">
      <c r="A262" s="86"/>
      <c r="B262" s="86"/>
      <c r="C262" s="86"/>
      <c r="D262" s="86"/>
      <c r="E262" s="86"/>
      <c r="F262" s="86"/>
      <c r="G262" s="86"/>
      <c r="H262" s="86"/>
      <c r="I262" s="86"/>
      <c r="J262" s="86"/>
      <c r="K262" s="86"/>
      <c r="L262" s="86"/>
      <c r="M262" s="86"/>
      <c r="N262" s="86"/>
      <c r="O262" s="86"/>
      <c r="P262" s="86"/>
      <c r="Q262" s="86"/>
      <c r="R262" s="86"/>
      <c r="S262" s="86"/>
      <c r="T262" s="106"/>
      <c r="U262" s="86"/>
      <c r="V262" s="86"/>
      <c r="W262" s="86"/>
      <c r="X262" s="86"/>
      <c r="Y262" s="86"/>
      <c r="Z262" s="86"/>
      <c r="AA262" s="86"/>
      <c r="AB262" s="86"/>
      <c r="AC262" s="86"/>
      <c r="AD262" s="86"/>
      <c r="AE262" s="86"/>
      <c r="AF262" s="512"/>
      <c r="AG262" s="86"/>
      <c r="AH262" s="86"/>
      <c r="AI262" s="86"/>
      <c r="AJ262" s="86"/>
      <c r="AK262" s="86"/>
      <c r="AL262" s="86"/>
      <c r="AM262" s="86"/>
      <c r="AN262" s="86"/>
      <c r="AO262" s="86"/>
      <c r="AP262" s="86"/>
      <c r="AQ262" s="86"/>
      <c r="AR262" s="86"/>
      <c r="AS262" s="86"/>
      <c r="AT262" s="86"/>
      <c r="AU262" s="86"/>
      <c r="AV262" s="86"/>
    </row>
    <row r="263" spans="1:48">
      <c r="A263" s="86"/>
      <c r="B263" s="86"/>
      <c r="C263" s="86"/>
      <c r="D263" s="86"/>
      <c r="E263" s="86"/>
      <c r="F263" s="86"/>
      <c r="G263" s="86"/>
      <c r="H263" s="86"/>
      <c r="I263" s="86"/>
      <c r="J263" s="86"/>
      <c r="K263" s="86"/>
      <c r="L263" s="86"/>
      <c r="M263" s="86"/>
      <c r="N263" s="86"/>
      <c r="O263" s="86"/>
      <c r="P263" s="86"/>
      <c r="Q263" s="86"/>
      <c r="R263" s="86"/>
      <c r="S263" s="86"/>
      <c r="T263" s="106"/>
      <c r="U263" s="86"/>
      <c r="V263" s="86"/>
      <c r="W263" s="86"/>
      <c r="X263" s="86"/>
      <c r="Y263" s="86"/>
      <c r="Z263" s="86"/>
      <c r="AA263" s="86"/>
      <c r="AB263" s="86"/>
      <c r="AC263" s="86"/>
      <c r="AD263" s="86"/>
      <c r="AE263" s="86"/>
      <c r="AF263" s="512"/>
      <c r="AG263" s="86"/>
      <c r="AH263" s="86"/>
      <c r="AI263" s="86"/>
      <c r="AJ263" s="86"/>
      <c r="AK263" s="86"/>
      <c r="AL263" s="86"/>
      <c r="AM263" s="86"/>
      <c r="AN263" s="86"/>
      <c r="AO263" s="86"/>
      <c r="AP263" s="86"/>
      <c r="AQ263" s="86"/>
      <c r="AR263" s="86"/>
      <c r="AS263" s="86"/>
      <c r="AT263" s="86"/>
      <c r="AU263" s="86"/>
      <c r="AV263" s="86"/>
    </row>
    <row r="264" spans="1:48">
      <c r="A264" s="86"/>
      <c r="B264" s="86"/>
      <c r="C264" s="86"/>
      <c r="D264" s="86"/>
      <c r="E264" s="86"/>
      <c r="F264" s="86"/>
      <c r="G264" s="86"/>
      <c r="H264" s="86"/>
      <c r="I264" s="86"/>
      <c r="J264" s="86"/>
      <c r="K264" s="86"/>
      <c r="L264" s="86"/>
      <c r="M264" s="86"/>
      <c r="N264" s="86"/>
      <c r="O264" s="86"/>
      <c r="P264" s="86"/>
      <c r="Q264" s="86"/>
      <c r="R264" s="86"/>
      <c r="S264" s="86"/>
      <c r="T264" s="106"/>
      <c r="U264" s="86"/>
      <c r="V264" s="86"/>
      <c r="W264" s="86"/>
      <c r="X264" s="86"/>
      <c r="Y264" s="86"/>
      <c r="Z264" s="86"/>
      <c r="AA264" s="86"/>
      <c r="AB264" s="86"/>
      <c r="AC264" s="86"/>
      <c r="AD264" s="86"/>
      <c r="AE264" s="86"/>
      <c r="AF264" s="512"/>
      <c r="AG264" s="86"/>
      <c r="AH264" s="86"/>
      <c r="AI264" s="86"/>
      <c r="AJ264" s="86"/>
      <c r="AK264" s="86"/>
      <c r="AL264" s="86"/>
      <c r="AM264" s="86"/>
      <c r="AN264" s="86"/>
      <c r="AO264" s="86"/>
      <c r="AP264" s="86"/>
      <c r="AQ264" s="86"/>
      <c r="AR264" s="86"/>
      <c r="AS264" s="86"/>
      <c r="AT264" s="86"/>
      <c r="AU264" s="86"/>
      <c r="AV264" s="86"/>
    </row>
    <row r="265" spans="1:48">
      <c r="A265" s="86"/>
      <c r="B265" s="86"/>
      <c r="C265" s="86"/>
      <c r="D265" s="86"/>
      <c r="E265" s="86"/>
      <c r="F265" s="86"/>
      <c r="G265" s="86"/>
      <c r="H265" s="86"/>
      <c r="I265" s="86"/>
      <c r="J265" s="86"/>
      <c r="K265" s="86"/>
      <c r="L265" s="86"/>
      <c r="M265" s="86"/>
      <c r="N265" s="86"/>
      <c r="O265" s="86"/>
      <c r="P265" s="86"/>
      <c r="Q265" s="86"/>
      <c r="R265" s="86"/>
      <c r="S265" s="86"/>
      <c r="T265" s="106"/>
      <c r="U265" s="86"/>
      <c r="V265" s="86"/>
      <c r="W265" s="86"/>
      <c r="X265" s="86"/>
      <c r="Y265" s="86"/>
      <c r="Z265" s="86"/>
      <c r="AA265" s="86"/>
      <c r="AB265" s="86"/>
      <c r="AC265" s="86"/>
      <c r="AD265" s="86"/>
      <c r="AE265" s="86"/>
      <c r="AF265" s="512"/>
      <c r="AG265" s="86"/>
      <c r="AH265" s="86"/>
      <c r="AI265" s="86"/>
      <c r="AJ265" s="86"/>
      <c r="AK265" s="86"/>
      <c r="AL265" s="86"/>
      <c r="AM265" s="86"/>
      <c r="AN265" s="86"/>
      <c r="AO265" s="86"/>
      <c r="AP265" s="86"/>
      <c r="AQ265" s="86"/>
      <c r="AR265" s="86"/>
      <c r="AS265" s="86"/>
      <c r="AT265" s="86"/>
      <c r="AU265" s="86"/>
      <c r="AV265" s="86"/>
    </row>
    <row r="266" spans="1:48">
      <c r="A266" s="86"/>
      <c r="B266" s="86"/>
      <c r="C266" s="86"/>
      <c r="D266" s="86"/>
      <c r="E266" s="86"/>
      <c r="F266" s="86"/>
      <c r="G266" s="86"/>
      <c r="H266" s="86"/>
      <c r="I266" s="86"/>
      <c r="J266" s="86"/>
      <c r="K266" s="86"/>
      <c r="L266" s="86"/>
      <c r="M266" s="86"/>
      <c r="N266" s="86"/>
      <c r="O266" s="86"/>
      <c r="P266" s="86"/>
      <c r="Q266" s="86"/>
      <c r="R266" s="86"/>
      <c r="S266" s="86"/>
      <c r="T266" s="106"/>
      <c r="U266" s="86"/>
      <c r="V266" s="86"/>
      <c r="W266" s="86"/>
      <c r="X266" s="86"/>
      <c r="Y266" s="86"/>
      <c r="Z266" s="86"/>
      <c r="AA266" s="86"/>
      <c r="AB266" s="86"/>
      <c r="AC266" s="86"/>
      <c r="AD266" s="86"/>
      <c r="AE266" s="86"/>
      <c r="AF266" s="512"/>
      <c r="AG266" s="86"/>
      <c r="AH266" s="86"/>
      <c r="AI266" s="86"/>
      <c r="AJ266" s="86"/>
      <c r="AK266" s="86"/>
      <c r="AL266" s="86"/>
      <c r="AM266" s="86"/>
      <c r="AN266" s="86"/>
      <c r="AO266" s="86"/>
      <c r="AP266" s="86"/>
      <c r="AQ266" s="86"/>
      <c r="AR266" s="86"/>
      <c r="AS266" s="86"/>
      <c r="AT266" s="86"/>
      <c r="AU266" s="86"/>
      <c r="AV266" s="86"/>
    </row>
    <row r="267" spans="1:48">
      <c r="A267" s="86"/>
      <c r="B267" s="86"/>
      <c r="C267" s="86"/>
      <c r="D267" s="86"/>
      <c r="E267" s="86"/>
      <c r="F267" s="86"/>
      <c r="G267" s="86"/>
      <c r="H267" s="86"/>
      <c r="I267" s="86"/>
      <c r="J267" s="86"/>
      <c r="K267" s="86"/>
      <c r="L267" s="86"/>
      <c r="M267" s="86"/>
      <c r="N267" s="86"/>
      <c r="O267" s="86"/>
      <c r="P267" s="86"/>
      <c r="Q267" s="86"/>
      <c r="R267" s="86"/>
      <c r="S267" s="86"/>
      <c r="T267" s="106"/>
      <c r="U267" s="86"/>
      <c r="V267" s="86"/>
      <c r="W267" s="86"/>
      <c r="X267" s="86"/>
      <c r="Y267" s="86"/>
      <c r="Z267" s="86"/>
      <c r="AA267" s="86"/>
      <c r="AB267" s="86"/>
      <c r="AC267" s="86"/>
      <c r="AD267" s="86"/>
      <c r="AE267" s="86"/>
      <c r="AF267" s="512"/>
      <c r="AG267" s="86"/>
      <c r="AH267" s="86"/>
      <c r="AI267" s="86"/>
      <c r="AJ267" s="86"/>
      <c r="AK267" s="86"/>
      <c r="AL267" s="86"/>
      <c r="AM267" s="86"/>
      <c r="AN267" s="86"/>
      <c r="AO267" s="86"/>
      <c r="AP267" s="86"/>
      <c r="AQ267" s="86"/>
      <c r="AR267" s="86"/>
      <c r="AS267" s="86"/>
      <c r="AT267" s="86"/>
      <c r="AU267" s="86"/>
      <c r="AV267" s="86"/>
    </row>
    <row r="268" spans="1:48">
      <c r="A268" s="86"/>
      <c r="B268" s="86"/>
      <c r="C268" s="86"/>
      <c r="D268" s="86"/>
      <c r="E268" s="86"/>
      <c r="F268" s="86"/>
      <c r="G268" s="86"/>
      <c r="H268" s="86"/>
      <c r="I268" s="86"/>
      <c r="J268" s="86"/>
      <c r="K268" s="86"/>
      <c r="L268" s="86"/>
      <c r="M268" s="86"/>
      <c r="N268" s="86"/>
      <c r="O268" s="86"/>
      <c r="P268" s="86"/>
      <c r="Q268" s="86"/>
      <c r="R268" s="86"/>
      <c r="S268" s="86"/>
      <c r="T268" s="106"/>
      <c r="U268" s="86"/>
      <c r="V268" s="86"/>
      <c r="W268" s="86"/>
      <c r="X268" s="86"/>
      <c r="Y268" s="86"/>
      <c r="Z268" s="86"/>
      <c r="AA268" s="86"/>
      <c r="AB268" s="86"/>
      <c r="AC268" s="86"/>
      <c r="AD268" s="86"/>
      <c r="AE268" s="86"/>
      <c r="AF268" s="512"/>
      <c r="AG268" s="86"/>
      <c r="AH268" s="86"/>
      <c r="AI268" s="86"/>
      <c r="AJ268" s="86"/>
      <c r="AK268" s="86"/>
      <c r="AL268" s="86"/>
      <c r="AM268" s="86"/>
      <c r="AN268" s="86"/>
      <c r="AO268" s="86"/>
      <c r="AP268" s="86"/>
      <c r="AQ268" s="86"/>
      <c r="AR268" s="86"/>
      <c r="AS268" s="86"/>
      <c r="AT268" s="86"/>
      <c r="AU268" s="86"/>
      <c r="AV268" s="86"/>
    </row>
    <row r="269" spans="1:48">
      <c r="A269" s="86"/>
      <c r="B269" s="86"/>
      <c r="C269" s="86"/>
      <c r="D269" s="86"/>
      <c r="E269" s="86"/>
      <c r="F269" s="86"/>
      <c r="G269" s="86"/>
      <c r="H269" s="86"/>
      <c r="I269" s="86"/>
      <c r="J269" s="86"/>
      <c r="K269" s="86"/>
      <c r="L269" s="86"/>
      <c r="M269" s="86"/>
      <c r="N269" s="86"/>
      <c r="O269" s="86"/>
      <c r="P269" s="86"/>
      <c r="Q269" s="86"/>
      <c r="R269" s="86"/>
      <c r="S269" s="86"/>
      <c r="T269" s="106"/>
      <c r="U269" s="86"/>
      <c r="V269" s="86"/>
      <c r="W269" s="86"/>
      <c r="X269" s="86"/>
      <c r="Y269" s="86"/>
      <c r="Z269" s="86"/>
      <c r="AA269" s="86"/>
      <c r="AB269" s="86"/>
      <c r="AC269" s="86"/>
      <c r="AD269" s="86"/>
      <c r="AE269" s="86"/>
      <c r="AF269" s="512"/>
      <c r="AG269" s="86"/>
      <c r="AH269" s="86"/>
      <c r="AI269" s="86"/>
      <c r="AJ269" s="86"/>
      <c r="AK269" s="86"/>
      <c r="AL269" s="86"/>
      <c r="AM269" s="86"/>
      <c r="AN269" s="86"/>
      <c r="AO269" s="86"/>
      <c r="AP269" s="86"/>
      <c r="AQ269" s="86"/>
      <c r="AR269" s="86"/>
      <c r="AS269" s="86"/>
      <c r="AT269" s="86"/>
      <c r="AU269" s="86"/>
      <c r="AV269" s="86"/>
    </row>
    <row r="270" spans="1:48">
      <c r="A270" s="86"/>
      <c r="B270" s="86"/>
      <c r="C270" s="86"/>
      <c r="D270" s="86"/>
      <c r="E270" s="86"/>
      <c r="F270" s="86"/>
      <c r="G270" s="86"/>
      <c r="H270" s="86"/>
      <c r="I270" s="86"/>
      <c r="J270" s="86"/>
      <c r="K270" s="86"/>
      <c r="L270" s="86"/>
      <c r="M270" s="86"/>
      <c r="N270" s="86"/>
      <c r="O270" s="86"/>
      <c r="P270" s="86"/>
      <c r="Q270" s="86"/>
      <c r="R270" s="86"/>
      <c r="S270" s="86"/>
      <c r="T270" s="106"/>
      <c r="U270" s="86"/>
      <c r="V270" s="86"/>
      <c r="W270" s="86"/>
      <c r="X270" s="86"/>
      <c r="Y270" s="86"/>
      <c r="Z270" s="86"/>
      <c r="AA270" s="86"/>
      <c r="AB270" s="86"/>
      <c r="AC270" s="86"/>
      <c r="AD270" s="86"/>
      <c r="AE270" s="86"/>
      <c r="AF270" s="512"/>
      <c r="AG270" s="86"/>
      <c r="AH270" s="86"/>
      <c r="AI270" s="86"/>
      <c r="AJ270" s="86"/>
      <c r="AK270" s="86"/>
      <c r="AL270" s="86"/>
      <c r="AM270" s="86"/>
      <c r="AN270" s="86"/>
      <c r="AO270" s="86"/>
      <c r="AP270" s="86"/>
      <c r="AQ270" s="86"/>
      <c r="AR270" s="86"/>
      <c r="AS270" s="86"/>
      <c r="AT270" s="86"/>
      <c r="AU270" s="86"/>
      <c r="AV270" s="86"/>
    </row>
    <row r="271" spans="1:48">
      <c r="A271" s="86"/>
      <c r="B271" s="86"/>
      <c r="C271" s="86"/>
      <c r="D271" s="86"/>
      <c r="E271" s="86"/>
      <c r="F271" s="86"/>
      <c r="G271" s="86"/>
      <c r="H271" s="86"/>
      <c r="I271" s="86"/>
      <c r="J271" s="86"/>
      <c r="K271" s="86"/>
      <c r="L271" s="86"/>
      <c r="M271" s="86"/>
      <c r="N271" s="86"/>
      <c r="O271" s="86"/>
      <c r="P271" s="86"/>
      <c r="Q271" s="86"/>
      <c r="R271" s="86"/>
      <c r="S271" s="86"/>
      <c r="T271" s="106"/>
      <c r="U271" s="86"/>
      <c r="V271" s="86"/>
      <c r="W271" s="86"/>
      <c r="X271" s="86"/>
      <c r="Y271" s="86"/>
      <c r="Z271" s="86"/>
      <c r="AA271" s="86"/>
      <c r="AB271" s="86"/>
      <c r="AC271" s="86"/>
      <c r="AD271" s="86"/>
      <c r="AE271" s="86"/>
      <c r="AF271" s="512"/>
      <c r="AG271" s="86"/>
      <c r="AH271" s="86"/>
      <c r="AI271" s="86"/>
      <c r="AJ271" s="86"/>
      <c r="AK271" s="86"/>
      <c r="AL271" s="86"/>
      <c r="AM271" s="86"/>
      <c r="AN271" s="86"/>
      <c r="AO271" s="86"/>
      <c r="AP271" s="86"/>
      <c r="AQ271" s="86"/>
      <c r="AR271" s="86"/>
      <c r="AS271" s="86"/>
      <c r="AT271" s="86"/>
      <c r="AU271" s="86"/>
      <c r="AV271" s="86"/>
    </row>
    <row r="272" spans="1:48">
      <c r="A272" s="86"/>
      <c r="B272" s="86"/>
      <c r="C272" s="86"/>
      <c r="D272" s="86"/>
      <c r="E272" s="86"/>
      <c r="F272" s="86"/>
      <c r="G272" s="86"/>
      <c r="H272" s="86"/>
      <c r="I272" s="86"/>
      <c r="J272" s="86"/>
      <c r="K272" s="86"/>
      <c r="L272" s="86"/>
      <c r="M272" s="86"/>
      <c r="N272" s="86"/>
      <c r="O272" s="86"/>
      <c r="P272" s="86"/>
      <c r="Q272" s="86"/>
      <c r="R272" s="86"/>
      <c r="S272" s="86"/>
      <c r="T272" s="106"/>
      <c r="U272" s="86"/>
      <c r="V272" s="86"/>
      <c r="W272" s="86"/>
      <c r="X272" s="86"/>
      <c r="Y272" s="86"/>
      <c r="Z272" s="86"/>
      <c r="AA272" s="86"/>
      <c r="AB272" s="86"/>
      <c r="AC272" s="86"/>
      <c r="AD272" s="86"/>
      <c r="AE272" s="86"/>
      <c r="AF272" s="512"/>
      <c r="AG272" s="86"/>
      <c r="AH272" s="86"/>
      <c r="AI272" s="86"/>
      <c r="AJ272" s="86"/>
      <c r="AK272" s="86"/>
      <c r="AL272" s="86"/>
      <c r="AM272" s="86"/>
      <c r="AN272" s="86"/>
      <c r="AO272" s="86"/>
      <c r="AP272" s="86"/>
      <c r="AQ272" s="86"/>
      <c r="AR272" s="86"/>
      <c r="AS272" s="86"/>
      <c r="AT272" s="86"/>
      <c r="AU272" s="86"/>
      <c r="AV272" s="86"/>
    </row>
    <row r="273" spans="1:48">
      <c r="A273" s="86"/>
      <c r="B273" s="86"/>
      <c r="C273" s="86"/>
      <c r="D273" s="86"/>
      <c r="E273" s="86"/>
      <c r="F273" s="86"/>
      <c r="G273" s="86"/>
      <c r="H273" s="86"/>
      <c r="I273" s="86"/>
      <c r="J273" s="86"/>
      <c r="K273" s="86"/>
      <c r="L273" s="86"/>
      <c r="M273" s="86"/>
      <c r="N273" s="86"/>
      <c r="O273" s="86"/>
      <c r="P273" s="86"/>
      <c r="Q273" s="86"/>
      <c r="R273" s="86"/>
      <c r="S273" s="86"/>
      <c r="T273" s="106"/>
      <c r="U273" s="86"/>
      <c r="V273" s="86"/>
      <c r="W273" s="86"/>
      <c r="X273" s="86"/>
      <c r="Y273" s="86"/>
      <c r="Z273" s="86"/>
      <c r="AA273" s="86"/>
      <c r="AB273" s="86"/>
      <c r="AC273" s="86"/>
      <c r="AD273" s="86"/>
      <c r="AE273" s="86"/>
      <c r="AF273" s="512"/>
      <c r="AG273" s="86"/>
      <c r="AH273" s="86"/>
      <c r="AI273" s="86"/>
      <c r="AJ273" s="86"/>
      <c r="AK273" s="86"/>
      <c r="AL273" s="86"/>
      <c r="AM273" s="86"/>
      <c r="AN273" s="86"/>
      <c r="AO273" s="86"/>
      <c r="AP273" s="86"/>
      <c r="AQ273" s="86"/>
      <c r="AR273" s="86"/>
      <c r="AS273" s="86"/>
      <c r="AT273" s="86"/>
      <c r="AU273" s="86"/>
      <c r="AV273" s="86"/>
    </row>
    <row r="274" spans="1:48">
      <c r="A274" s="86"/>
      <c r="B274" s="86"/>
      <c r="C274" s="86"/>
      <c r="D274" s="86"/>
      <c r="E274" s="86"/>
      <c r="F274" s="86"/>
      <c r="G274" s="86"/>
      <c r="H274" s="86"/>
      <c r="I274" s="86"/>
      <c r="J274" s="86"/>
      <c r="K274" s="86"/>
      <c r="L274" s="86"/>
      <c r="M274" s="86"/>
      <c r="N274" s="86"/>
      <c r="O274" s="86"/>
      <c r="P274" s="86"/>
      <c r="Q274" s="86"/>
      <c r="R274" s="86"/>
      <c r="S274" s="86"/>
      <c r="T274" s="106"/>
      <c r="U274" s="86"/>
      <c r="V274" s="86"/>
      <c r="W274" s="86"/>
      <c r="X274" s="86"/>
      <c r="Y274" s="86"/>
      <c r="Z274" s="86"/>
      <c r="AA274" s="86"/>
      <c r="AB274" s="86"/>
      <c r="AC274" s="86"/>
      <c r="AD274" s="86"/>
      <c r="AE274" s="86"/>
      <c r="AF274" s="512"/>
      <c r="AG274" s="86"/>
      <c r="AH274" s="86"/>
      <c r="AI274" s="86"/>
      <c r="AJ274" s="86"/>
      <c r="AK274" s="86"/>
      <c r="AL274" s="86"/>
      <c r="AM274" s="86"/>
      <c r="AN274" s="86"/>
      <c r="AO274" s="86"/>
      <c r="AP274" s="86"/>
      <c r="AQ274" s="86"/>
      <c r="AR274" s="86"/>
      <c r="AS274" s="86"/>
      <c r="AT274" s="86"/>
      <c r="AU274" s="86"/>
      <c r="AV274" s="86"/>
    </row>
    <row r="275" spans="1:48">
      <c r="A275" s="86"/>
      <c r="B275" s="86"/>
      <c r="C275" s="86"/>
      <c r="D275" s="86"/>
      <c r="E275" s="86"/>
      <c r="F275" s="86"/>
      <c r="G275" s="86"/>
      <c r="H275" s="86"/>
      <c r="I275" s="86"/>
      <c r="J275" s="86"/>
      <c r="K275" s="86"/>
      <c r="L275" s="86"/>
      <c r="M275" s="86"/>
      <c r="N275" s="86"/>
      <c r="O275" s="86"/>
      <c r="P275" s="86"/>
      <c r="Q275" s="86"/>
      <c r="R275" s="86"/>
      <c r="S275" s="86"/>
      <c r="T275" s="106"/>
      <c r="U275" s="86"/>
      <c r="V275" s="86"/>
      <c r="W275" s="86"/>
      <c r="X275" s="86"/>
      <c r="Y275" s="86"/>
      <c r="Z275" s="86"/>
      <c r="AA275" s="86"/>
      <c r="AB275" s="86"/>
      <c r="AC275" s="86"/>
      <c r="AD275" s="86"/>
      <c r="AE275" s="86"/>
      <c r="AF275" s="512"/>
      <c r="AG275" s="86"/>
      <c r="AH275" s="86"/>
      <c r="AI275" s="86"/>
      <c r="AJ275" s="86"/>
      <c r="AK275" s="86"/>
      <c r="AL275" s="86"/>
      <c r="AM275" s="86"/>
      <c r="AN275" s="86"/>
      <c r="AO275" s="86"/>
      <c r="AP275" s="86"/>
      <c r="AQ275" s="86"/>
      <c r="AR275" s="86"/>
      <c r="AS275" s="86"/>
      <c r="AT275" s="86"/>
      <c r="AU275" s="86"/>
      <c r="AV275" s="86"/>
    </row>
    <row r="276" spans="1:48">
      <c r="A276" s="86"/>
      <c r="B276" s="86"/>
      <c r="C276" s="86"/>
      <c r="D276" s="86"/>
      <c r="E276" s="86"/>
      <c r="F276" s="86"/>
      <c r="G276" s="86"/>
      <c r="H276" s="86"/>
      <c r="I276" s="86"/>
      <c r="J276" s="86"/>
      <c r="K276" s="86"/>
      <c r="L276" s="86"/>
      <c r="M276" s="86"/>
      <c r="N276" s="86"/>
      <c r="O276" s="86"/>
      <c r="P276" s="86"/>
      <c r="Q276" s="86"/>
      <c r="R276" s="86"/>
      <c r="S276" s="86"/>
      <c r="T276" s="106"/>
      <c r="U276" s="86"/>
      <c r="V276" s="86"/>
      <c r="W276" s="86"/>
      <c r="X276" s="86"/>
      <c r="Y276" s="86"/>
      <c r="Z276" s="86"/>
      <c r="AA276" s="86"/>
      <c r="AB276" s="86"/>
      <c r="AC276" s="86"/>
      <c r="AD276" s="86"/>
      <c r="AE276" s="86"/>
      <c r="AF276" s="512"/>
      <c r="AG276" s="86"/>
      <c r="AH276" s="86"/>
      <c r="AI276" s="86"/>
      <c r="AJ276" s="86"/>
      <c r="AK276" s="86"/>
      <c r="AL276" s="86"/>
      <c r="AM276" s="86"/>
      <c r="AN276" s="86"/>
      <c r="AO276" s="86"/>
      <c r="AP276" s="86"/>
      <c r="AQ276" s="86"/>
      <c r="AR276" s="86"/>
      <c r="AS276" s="86"/>
      <c r="AT276" s="86"/>
      <c r="AU276" s="86"/>
      <c r="AV276" s="86"/>
    </row>
    <row r="277" spans="1:48">
      <c r="A277" s="86"/>
      <c r="B277" s="86"/>
      <c r="C277" s="86"/>
      <c r="D277" s="86"/>
      <c r="E277" s="86"/>
      <c r="F277" s="86"/>
      <c r="G277" s="86"/>
      <c r="H277" s="86"/>
      <c r="I277" s="86"/>
      <c r="J277" s="86"/>
      <c r="K277" s="86"/>
      <c r="L277" s="86"/>
      <c r="M277" s="86"/>
      <c r="N277" s="86"/>
      <c r="O277" s="86"/>
      <c r="P277" s="86"/>
      <c r="Q277" s="86"/>
      <c r="R277" s="86"/>
      <c r="S277" s="86"/>
      <c r="T277" s="106"/>
      <c r="U277" s="86"/>
      <c r="V277" s="86"/>
      <c r="W277" s="86"/>
      <c r="X277" s="86"/>
      <c r="Y277" s="86"/>
      <c r="Z277" s="86"/>
      <c r="AA277" s="86"/>
      <c r="AB277" s="86"/>
      <c r="AC277" s="86"/>
      <c r="AD277" s="86"/>
      <c r="AE277" s="86"/>
      <c r="AF277" s="512"/>
      <c r="AG277" s="86"/>
      <c r="AH277" s="86"/>
      <c r="AI277" s="86"/>
      <c r="AJ277" s="86"/>
      <c r="AK277" s="86"/>
      <c r="AL277" s="86"/>
      <c r="AM277" s="86"/>
      <c r="AN277" s="86"/>
      <c r="AO277" s="86"/>
      <c r="AP277" s="86"/>
      <c r="AQ277" s="86"/>
      <c r="AR277" s="86"/>
      <c r="AS277" s="86"/>
      <c r="AT277" s="86"/>
      <c r="AU277" s="86"/>
      <c r="AV277" s="86"/>
    </row>
    <row r="278" spans="1:48">
      <c r="A278" s="86"/>
      <c r="B278" s="86"/>
      <c r="C278" s="86"/>
      <c r="D278" s="86"/>
      <c r="E278" s="86"/>
      <c r="F278" s="86"/>
      <c r="G278" s="86"/>
      <c r="H278" s="86"/>
      <c r="I278" s="86"/>
      <c r="J278" s="86"/>
      <c r="K278" s="86"/>
      <c r="L278" s="86"/>
      <c r="M278" s="86"/>
      <c r="N278" s="86"/>
      <c r="O278" s="86"/>
      <c r="P278" s="86"/>
      <c r="Q278" s="86"/>
      <c r="R278" s="86"/>
      <c r="S278" s="86"/>
      <c r="T278" s="106"/>
      <c r="U278" s="86"/>
      <c r="V278" s="86"/>
      <c r="W278" s="86"/>
      <c r="X278" s="86"/>
      <c r="Y278" s="86"/>
      <c r="Z278" s="86"/>
      <c r="AA278" s="86"/>
      <c r="AB278" s="86"/>
      <c r="AC278" s="86"/>
      <c r="AD278" s="86"/>
      <c r="AE278" s="86"/>
      <c r="AF278" s="512"/>
      <c r="AG278" s="86"/>
      <c r="AH278" s="86"/>
      <c r="AI278" s="86"/>
      <c r="AJ278" s="86"/>
      <c r="AK278" s="86"/>
      <c r="AL278" s="86"/>
      <c r="AM278" s="86"/>
      <c r="AN278" s="86"/>
      <c r="AO278" s="86"/>
      <c r="AP278" s="86"/>
      <c r="AQ278" s="86"/>
      <c r="AR278" s="86"/>
      <c r="AS278" s="86"/>
      <c r="AT278" s="86"/>
      <c r="AU278" s="86"/>
      <c r="AV278" s="86"/>
    </row>
    <row r="279" spans="1:48">
      <c r="A279" s="86"/>
      <c r="B279" s="86"/>
      <c r="C279" s="86"/>
      <c r="D279" s="86"/>
      <c r="E279" s="86"/>
      <c r="F279" s="86"/>
      <c r="G279" s="86"/>
      <c r="H279" s="86"/>
      <c r="I279" s="86"/>
      <c r="J279" s="86"/>
      <c r="K279" s="86"/>
      <c r="L279" s="86"/>
      <c r="M279" s="86"/>
      <c r="N279" s="86"/>
      <c r="O279" s="86"/>
      <c r="P279" s="86"/>
      <c r="Q279" s="86"/>
      <c r="R279" s="86"/>
      <c r="S279" s="86"/>
      <c r="T279" s="106"/>
      <c r="U279" s="86"/>
      <c r="V279" s="86"/>
      <c r="W279" s="86"/>
      <c r="X279" s="86"/>
      <c r="Y279" s="86"/>
      <c r="Z279" s="86"/>
      <c r="AA279" s="86"/>
      <c r="AB279" s="86"/>
      <c r="AC279" s="86"/>
      <c r="AD279" s="86"/>
      <c r="AE279" s="86"/>
      <c r="AF279" s="512"/>
      <c r="AG279" s="86"/>
      <c r="AH279" s="86"/>
      <c r="AI279" s="86"/>
      <c r="AJ279" s="86"/>
      <c r="AK279" s="86"/>
      <c r="AL279" s="86"/>
      <c r="AM279" s="86"/>
      <c r="AN279" s="86"/>
      <c r="AO279" s="86"/>
      <c r="AP279" s="86"/>
      <c r="AQ279" s="86"/>
      <c r="AR279" s="86"/>
      <c r="AS279" s="86"/>
      <c r="AT279" s="86"/>
      <c r="AU279" s="86"/>
      <c r="AV279" s="86"/>
    </row>
    <row r="280" spans="1:48">
      <c r="A280" s="86"/>
      <c r="B280" s="86"/>
      <c r="C280" s="86"/>
      <c r="D280" s="86"/>
      <c r="E280" s="86"/>
      <c r="F280" s="86"/>
      <c r="G280" s="86"/>
      <c r="H280" s="86"/>
      <c r="I280" s="86"/>
      <c r="J280" s="86"/>
      <c r="K280" s="86"/>
      <c r="L280" s="86"/>
      <c r="M280" s="86"/>
      <c r="N280" s="86"/>
      <c r="O280" s="86"/>
      <c r="P280" s="86"/>
      <c r="Q280" s="86"/>
      <c r="R280" s="86"/>
      <c r="S280" s="86"/>
      <c r="T280" s="106"/>
      <c r="U280" s="86"/>
      <c r="V280" s="86"/>
      <c r="W280" s="86"/>
      <c r="X280" s="86"/>
      <c r="Y280" s="86"/>
      <c r="Z280" s="86"/>
      <c r="AA280" s="86"/>
      <c r="AB280" s="86"/>
      <c r="AC280" s="86"/>
      <c r="AD280" s="86"/>
      <c r="AE280" s="86"/>
      <c r="AF280" s="512"/>
      <c r="AG280" s="86"/>
      <c r="AH280" s="86"/>
      <c r="AI280" s="86"/>
      <c r="AJ280" s="86"/>
      <c r="AK280" s="86"/>
      <c r="AL280" s="86"/>
      <c r="AM280" s="86"/>
      <c r="AN280" s="86"/>
      <c r="AO280" s="86"/>
      <c r="AP280" s="86"/>
      <c r="AQ280" s="86"/>
      <c r="AR280" s="86"/>
      <c r="AS280" s="86"/>
      <c r="AT280" s="86"/>
      <c r="AU280" s="86"/>
      <c r="AV280" s="86"/>
    </row>
    <row r="281" spans="1:48">
      <c r="A281" s="86"/>
      <c r="B281" s="86"/>
      <c r="C281" s="86"/>
      <c r="D281" s="86"/>
      <c r="E281" s="86"/>
      <c r="F281" s="86"/>
      <c r="G281" s="86"/>
      <c r="H281" s="86"/>
      <c r="I281" s="86"/>
      <c r="J281" s="86"/>
      <c r="K281" s="86"/>
      <c r="L281" s="86"/>
      <c r="M281" s="86"/>
      <c r="N281" s="86"/>
      <c r="O281" s="86"/>
      <c r="P281" s="86"/>
      <c r="Q281" s="86"/>
      <c r="R281" s="86"/>
      <c r="S281" s="86"/>
      <c r="T281" s="106"/>
      <c r="U281" s="86"/>
      <c r="V281" s="86"/>
      <c r="W281" s="86"/>
      <c r="X281" s="86"/>
      <c r="Y281" s="86"/>
      <c r="Z281" s="86"/>
      <c r="AA281" s="86"/>
      <c r="AB281" s="86"/>
      <c r="AC281" s="86"/>
      <c r="AD281" s="86"/>
      <c r="AE281" s="86"/>
      <c r="AF281" s="512"/>
      <c r="AG281" s="86"/>
      <c r="AH281" s="86"/>
      <c r="AI281" s="86"/>
      <c r="AJ281" s="86"/>
      <c r="AK281" s="86"/>
      <c r="AL281" s="86"/>
      <c r="AM281" s="86"/>
      <c r="AN281" s="86"/>
      <c r="AO281" s="86"/>
      <c r="AP281" s="86"/>
      <c r="AQ281" s="86"/>
      <c r="AR281" s="86"/>
      <c r="AS281" s="86"/>
      <c r="AT281" s="86"/>
      <c r="AU281" s="86"/>
      <c r="AV281" s="86"/>
    </row>
    <row r="282" spans="1:48">
      <c r="A282" s="86"/>
      <c r="B282" s="86"/>
      <c r="C282" s="86"/>
      <c r="D282" s="86"/>
      <c r="E282" s="86"/>
      <c r="F282" s="86"/>
      <c r="G282" s="86"/>
      <c r="H282" s="86"/>
      <c r="I282" s="86"/>
      <c r="J282" s="86"/>
      <c r="K282" s="86"/>
      <c r="L282" s="86"/>
      <c r="M282" s="86"/>
      <c r="N282" s="86"/>
      <c r="O282" s="86"/>
      <c r="P282" s="86"/>
      <c r="Q282" s="86"/>
      <c r="R282" s="86"/>
      <c r="S282" s="86"/>
      <c r="T282" s="106"/>
      <c r="U282" s="86"/>
      <c r="V282" s="86"/>
      <c r="W282" s="86"/>
      <c r="X282" s="86"/>
      <c r="Y282" s="86"/>
      <c r="Z282" s="86"/>
      <c r="AA282" s="86"/>
      <c r="AB282" s="86"/>
      <c r="AC282" s="86"/>
      <c r="AD282" s="86"/>
      <c r="AE282" s="86"/>
      <c r="AF282" s="512"/>
      <c r="AG282" s="86"/>
      <c r="AH282" s="86"/>
      <c r="AI282" s="86"/>
      <c r="AJ282" s="86"/>
      <c r="AK282" s="86"/>
      <c r="AL282" s="86"/>
      <c r="AM282" s="86"/>
      <c r="AN282" s="86"/>
      <c r="AO282" s="86"/>
      <c r="AP282" s="86"/>
      <c r="AQ282" s="86"/>
      <c r="AR282" s="86"/>
      <c r="AS282" s="86"/>
      <c r="AT282" s="86"/>
      <c r="AU282" s="86"/>
      <c r="AV282" s="86"/>
    </row>
    <row r="283" spans="1:48">
      <c r="A283" s="86"/>
      <c r="B283" s="86"/>
      <c r="C283" s="86"/>
      <c r="D283" s="86"/>
      <c r="E283" s="86"/>
      <c r="F283" s="86"/>
      <c r="G283" s="86"/>
      <c r="H283" s="86"/>
      <c r="I283" s="86"/>
      <c r="J283" s="86"/>
      <c r="K283" s="86"/>
      <c r="L283" s="86"/>
      <c r="M283" s="86"/>
      <c r="N283" s="86"/>
      <c r="O283" s="86"/>
      <c r="P283" s="86"/>
      <c r="Q283" s="86"/>
      <c r="R283" s="86"/>
      <c r="S283" s="86"/>
      <c r="T283" s="106"/>
      <c r="U283" s="86"/>
      <c r="V283" s="86"/>
      <c r="W283" s="86"/>
      <c r="X283" s="86"/>
      <c r="Y283" s="86"/>
      <c r="Z283" s="86"/>
      <c r="AA283" s="86"/>
      <c r="AB283" s="86"/>
      <c r="AC283" s="86"/>
      <c r="AD283" s="86"/>
      <c r="AE283" s="86"/>
      <c r="AF283" s="512"/>
      <c r="AG283" s="86"/>
      <c r="AH283" s="86"/>
      <c r="AI283" s="86"/>
      <c r="AJ283" s="86"/>
      <c r="AK283" s="86"/>
      <c r="AL283" s="86"/>
      <c r="AM283" s="86"/>
      <c r="AN283" s="86"/>
      <c r="AO283" s="86"/>
      <c r="AP283" s="86"/>
      <c r="AQ283" s="86"/>
      <c r="AR283" s="86"/>
      <c r="AS283" s="86"/>
      <c r="AT283" s="86"/>
      <c r="AU283" s="86"/>
      <c r="AV283" s="86"/>
    </row>
    <row r="284" spans="1:48">
      <c r="A284" s="86"/>
      <c r="B284" s="86"/>
      <c r="C284" s="86"/>
      <c r="D284" s="86"/>
      <c r="E284" s="86"/>
      <c r="F284" s="86"/>
      <c r="G284" s="86"/>
      <c r="H284" s="86"/>
      <c r="I284" s="86"/>
      <c r="J284" s="86"/>
      <c r="K284" s="86"/>
      <c r="L284" s="86"/>
      <c r="M284" s="86"/>
      <c r="N284" s="86"/>
      <c r="O284" s="86"/>
      <c r="P284" s="86"/>
      <c r="Q284" s="86"/>
      <c r="R284" s="86"/>
      <c r="S284" s="86"/>
      <c r="T284" s="106"/>
      <c r="U284" s="86"/>
      <c r="V284" s="86"/>
      <c r="W284" s="86"/>
      <c r="X284" s="86"/>
      <c r="Y284" s="86"/>
      <c r="Z284" s="86"/>
      <c r="AA284" s="86"/>
      <c r="AB284" s="86"/>
      <c r="AC284" s="86"/>
      <c r="AD284" s="86"/>
      <c r="AE284" s="86"/>
      <c r="AF284" s="512"/>
      <c r="AG284" s="86"/>
      <c r="AH284" s="86"/>
      <c r="AI284" s="86"/>
      <c r="AJ284" s="86"/>
      <c r="AK284" s="86"/>
      <c r="AL284" s="86"/>
      <c r="AM284" s="86"/>
      <c r="AN284" s="86"/>
      <c r="AO284" s="86"/>
      <c r="AP284" s="86"/>
      <c r="AQ284" s="86"/>
      <c r="AR284" s="86"/>
      <c r="AS284" s="86"/>
      <c r="AT284" s="86"/>
      <c r="AU284" s="86"/>
      <c r="AV284" s="86"/>
    </row>
    <row r="285" spans="1:48">
      <c r="A285" s="86"/>
      <c r="B285" s="86"/>
      <c r="C285" s="86"/>
      <c r="D285" s="86"/>
      <c r="E285" s="86"/>
      <c r="F285" s="86"/>
      <c r="G285" s="86"/>
      <c r="H285" s="86"/>
      <c r="I285" s="86"/>
      <c r="J285" s="86"/>
      <c r="K285" s="86"/>
      <c r="L285" s="86"/>
      <c r="M285" s="86"/>
      <c r="N285" s="86"/>
      <c r="O285" s="86"/>
      <c r="P285" s="86"/>
      <c r="Q285" s="86"/>
      <c r="R285" s="86"/>
      <c r="S285" s="86"/>
      <c r="T285" s="106"/>
      <c r="U285" s="86"/>
      <c r="V285" s="86"/>
      <c r="W285" s="86"/>
      <c r="X285" s="86"/>
      <c r="Y285" s="86"/>
      <c r="Z285" s="86"/>
      <c r="AA285" s="86"/>
      <c r="AB285" s="86"/>
      <c r="AC285" s="86"/>
      <c r="AD285" s="86"/>
      <c r="AE285" s="86"/>
      <c r="AF285" s="512"/>
      <c r="AG285" s="86"/>
      <c r="AH285" s="86"/>
      <c r="AI285" s="86"/>
      <c r="AJ285" s="86"/>
      <c r="AK285" s="86"/>
      <c r="AL285" s="86"/>
      <c r="AM285" s="86"/>
      <c r="AN285" s="86"/>
      <c r="AO285" s="86"/>
      <c r="AP285" s="86"/>
      <c r="AQ285" s="86"/>
      <c r="AR285" s="86"/>
      <c r="AS285" s="86"/>
      <c r="AT285" s="86"/>
      <c r="AU285" s="86"/>
      <c r="AV285" s="86"/>
    </row>
    <row r="286" spans="1:48">
      <c r="A286" s="86"/>
      <c r="B286" s="86"/>
      <c r="C286" s="86"/>
      <c r="D286" s="86"/>
      <c r="E286" s="86"/>
      <c r="F286" s="86"/>
      <c r="G286" s="86"/>
      <c r="H286" s="86"/>
      <c r="I286" s="86"/>
      <c r="J286" s="86"/>
      <c r="K286" s="86"/>
      <c r="L286" s="86"/>
      <c r="M286" s="86"/>
      <c r="N286" s="86"/>
      <c r="O286" s="86"/>
      <c r="P286" s="86"/>
      <c r="Q286" s="86"/>
      <c r="R286" s="86"/>
      <c r="S286" s="86"/>
      <c r="T286" s="106"/>
      <c r="U286" s="86"/>
      <c r="V286" s="86"/>
      <c r="W286" s="86"/>
      <c r="X286" s="86"/>
      <c r="Y286" s="86"/>
      <c r="Z286" s="86"/>
      <c r="AA286" s="86"/>
      <c r="AB286" s="86"/>
      <c r="AC286" s="86"/>
      <c r="AD286" s="86"/>
      <c r="AE286" s="86"/>
      <c r="AF286" s="512"/>
      <c r="AG286" s="86"/>
      <c r="AH286" s="86"/>
      <c r="AI286" s="86"/>
      <c r="AJ286" s="86"/>
      <c r="AK286" s="86"/>
      <c r="AL286" s="86"/>
      <c r="AM286" s="86"/>
      <c r="AN286" s="86"/>
      <c r="AO286" s="86"/>
      <c r="AP286" s="86"/>
      <c r="AQ286" s="86"/>
      <c r="AR286" s="86"/>
      <c r="AS286" s="86"/>
      <c r="AT286" s="86"/>
      <c r="AU286" s="86"/>
      <c r="AV286" s="86"/>
    </row>
    <row r="287" spans="1:48">
      <c r="A287" s="86"/>
      <c r="B287" s="86"/>
      <c r="C287" s="86"/>
      <c r="D287" s="86"/>
      <c r="E287" s="86"/>
      <c r="F287" s="86"/>
      <c r="G287" s="86"/>
      <c r="H287" s="86"/>
      <c r="I287" s="86"/>
      <c r="J287" s="86"/>
      <c r="K287" s="86"/>
      <c r="L287" s="86"/>
      <c r="M287" s="86"/>
      <c r="N287" s="86"/>
      <c r="O287" s="86"/>
      <c r="P287" s="86"/>
      <c r="Q287" s="86"/>
      <c r="R287" s="86"/>
      <c r="S287" s="86"/>
      <c r="T287" s="106"/>
      <c r="U287" s="86"/>
      <c r="V287" s="86"/>
      <c r="W287" s="86"/>
      <c r="X287" s="86"/>
      <c r="Y287" s="86"/>
      <c r="Z287" s="86"/>
      <c r="AA287" s="86"/>
      <c r="AB287" s="86"/>
      <c r="AC287" s="86"/>
      <c r="AD287" s="86"/>
      <c r="AE287" s="86"/>
      <c r="AF287" s="512"/>
      <c r="AG287" s="86"/>
      <c r="AH287" s="86"/>
      <c r="AI287" s="86"/>
      <c r="AJ287" s="86"/>
      <c r="AK287" s="86"/>
      <c r="AL287" s="86"/>
      <c r="AM287" s="86"/>
      <c r="AN287" s="86"/>
      <c r="AO287" s="86"/>
      <c r="AP287" s="86"/>
      <c r="AQ287" s="86"/>
      <c r="AR287" s="86"/>
      <c r="AS287" s="86"/>
      <c r="AT287" s="86"/>
      <c r="AU287" s="86"/>
      <c r="AV287" s="86"/>
    </row>
    <row r="288" spans="1:48">
      <c r="A288" s="86"/>
      <c r="B288" s="86"/>
      <c r="C288" s="86"/>
      <c r="D288" s="86"/>
      <c r="E288" s="86"/>
      <c r="F288" s="86"/>
      <c r="G288" s="86"/>
      <c r="H288" s="86"/>
      <c r="I288" s="86"/>
      <c r="J288" s="86"/>
      <c r="K288" s="86"/>
      <c r="L288" s="86"/>
      <c r="M288" s="86"/>
      <c r="N288" s="86"/>
      <c r="O288" s="86"/>
      <c r="P288" s="86"/>
      <c r="Q288" s="86"/>
      <c r="R288" s="86"/>
      <c r="S288" s="86"/>
      <c r="T288" s="106"/>
      <c r="U288" s="86"/>
      <c r="V288" s="86"/>
      <c r="W288" s="86"/>
      <c r="X288" s="86"/>
      <c r="Y288" s="86"/>
      <c r="Z288" s="86"/>
      <c r="AA288" s="86"/>
      <c r="AB288" s="86"/>
      <c r="AC288" s="86"/>
      <c r="AD288" s="86"/>
      <c r="AE288" s="86"/>
      <c r="AF288" s="512"/>
      <c r="AG288" s="86"/>
      <c r="AH288" s="86"/>
      <c r="AI288" s="86"/>
      <c r="AJ288" s="86"/>
      <c r="AK288" s="86"/>
      <c r="AL288" s="86"/>
      <c r="AM288" s="86"/>
      <c r="AN288" s="86"/>
      <c r="AO288" s="86"/>
      <c r="AP288" s="86"/>
      <c r="AQ288" s="86"/>
      <c r="AR288" s="86"/>
      <c r="AS288" s="86"/>
      <c r="AT288" s="86"/>
      <c r="AU288" s="86"/>
      <c r="AV288" s="86"/>
    </row>
    <row r="289" spans="1:48">
      <c r="A289" s="86"/>
      <c r="B289" s="86"/>
      <c r="C289" s="86"/>
      <c r="D289" s="86"/>
      <c r="E289" s="86"/>
      <c r="F289" s="86"/>
      <c r="G289" s="86"/>
      <c r="H289" s="86"/>
      <c r="I289" s="86"/>
      <c r="J289" s="86"/>
      <c r="K289" s="86"/>
      <c r="L289" s="86"/>
      <c r="M289" s="86"/>
      <c r="N289" s="86"/>
      <c r="O289" s="86"/>
      <c r="P289" s="86"/>
      <c r="Q289" s="86"/>
      <c r="R289" s="86"/>
      <c r="S289" s="86"/>
      <c r="T289" s="106"/>
      <c r="U289" s="86"/>
      <c r="V289" s="86"/>
      <c r="W289" s="86"/>
      <c r="X289" s="86"/>
      <c r="Y289" s="86"/>
      <c r="Z289" s="86"/>
      <c r="AA289" s="86"/>
      <c r="AB289" s="86"/>
      <c r="AC289" s="86"/>
      <c r="AD289" s="86"/>
      <c r="AE289" s="86"/>
      <c r="AF289" s="512"/>
      <c r="AG289" s="86"/>
      <c r="AH289" s="86"/>
      <c r="AI289" s="86"/>
      <c r="AJ289" s="86"/>
      <c r="AK289" s="86"/>
      <c r="AL289" s="86"/>
      <c r="AM289" s="86"/>
      <c r="AN289" s="86"/>
      <c r="AO289" s="86"/>
      <c r="AP289" s="86"/>
      <c r="AQ289" s="86"/>
      <c r="AR289" s="86"/>
      <c r="AS289" s="86"/>
      <c r="AT289" s="86"/>
      <c r="AU289" s="86"/>
      <c r="AV289" s="86"/>
    </row>
    <row r="290" spans="1:48">
      <c r="A290" s="86"/>
      <c r="B290" s="86"/>
      <c r="C290" s="86"/>
      <c r="D290" s="86"/>
      <c r="E290" s="86"/>
      <c r="F290" s="86"/>
      <c r="G290" s="86"/>
      <c r="H290" s="86"/>
      <c r="I290" s="86"/>
      <c r="J290" s="86"/>
      <c r="K290" s="86"/>
      <c r="L290" s="86"/>
      <c r="M290" s="86"/>
      <c r="N290" s="86"/>
      <c r="O290" s="86"/>
      <c r="P290" s="86"/>
      <c r="Q290" s="86"/>
      <c r="R290" s="86"/>
      <c r="S290" s="86"/>
      <c r="T290" s="106"/>
      <c r="U290" s="86"/>
      <c r="V290" s="86"/>
      <c r="W290" s="86"/>
      <c r="X290" s="86"/>
      <c r="Y290" s="86"/>
      <c r="Z290" s="86"/>
      <c r="AA290" s="86"/>
      <c r="AB290" s="86"/>
      <c r="AC290" s="86"/>
      <c r="AD290" s="86"/>
      <c r="AE290" s="86"/>
      <c r="AF290" s="512"/>
      <c r="AG290" s="86"/>
      <c r="AH290" s="86"/>
      <c r="AI290" s="86"/>
      <c r="AJ290" s="86"/>
      <c r="AK290" s="86"/>
      <c r="AL290" s="86"/>
      <c r="AM290" s="86"/>
      <c r="AN290" s="86"/>
      <c r="AO290" s="86"/>
      <c r="AP290" s="86"/>
      <c r="AQ290" s="86"/>
      <c r="AR290" s="86"/>
      <c r="AS290" s="86"/>
      <c r="AT290" s="86"/>
      <c r="AU290" s="86"/>
      <c r="AV290" s="86"/>
    </row>
    <row r="291" spans="1:48">
      <c r="A291" s="86"/>
      <c r="B291" s="86"/>
      <c r="C291" s="86"/>
      <c r="D291" s="86"/>
      <c r="E291" s="86"/>
      <c r="F291" s="86"/>
      <c r="G291" s="86"/>
      <c r="H291" s="86"/>
      <c r="I291" s="86"/>
      <c r="J291" s="86"/>
      <c r="K291" s="86"/>
      <c r="L291" s="86"/>
      <c r="M291" s="86"/>
      <c r="N291" s="86"/>
      <c r="O291" s="86"/>
      <c r="P291" s="86"/>
      <c r="Q291" s="86"/>
      <c r="R291" s="86"/>
      <c r="S291" s="86"/>
      <c r="T291" s="106"/>
      <c r="U291" s="86"/>
      <c r="V291" s="86"/>
      <c r="W291" s="86"/>
      <c r="X291" s="86"/>
      <c r="Y291" s="86"/>
      <c r="Z291" s="86"/>
      <c r="AA291" s="86"/>
      <c r="AB291" s="86"/>
      <c r="AC291" s="86"/>
      <c r="AD291" s="86"/>
      <c r="AE291" s="86"/>
      <c r="AF291" s="512"/>
      <c r="AG291" s="86"/>
      <c r="AH291" s="86"/>
      <c r="AI291" s="86"/>
      <c r="AJ291" s="86"/>
      <c r="AK291" s="86"/>
      <c r="AL291" s="86"/>
      <c r="AM291" s="86"/>
      <c r="AN291" s="86"/>
      <c r="AO291" s="86"/>
      <c r="AP291" s="86"/>
      <c r="AQ291" s="86"/>
      <c r="AR291" s="86"/>
      <c r="AS291" s="86"/>
      <c r="AT291" s="86"/>
      <c r="AU291" s="86"/>
      <c r="AV291" s="86"/>
    </row>
    <row r="292" spans="1:48">
      <c r="A292" s="86"/>
      <c r="B292" s="86"/>
      <c r="C292" s="86"/>
      <c r="D292" s="86"/>
      <c r="E292" s="86"/>
      <c r="F292" s="86"/>
      <c r="G292" s="86"/>
      <c r="H292" s="86"/>
      <c r="I292" s="86"/>
      <c r="J292" s="86"/>
      <c r="K292" s="86"/>
      <c r="L292" s="86"/>
      <c r="M292" s="86"/>
      <c r="N292" s="86"/>
      <c r="O292" s="86"/>
      <c r="P292" s="86"/>
      <c r="Q292" s="86"/>
      <c r="R292" s="86"/>
      <c r="S292" s="86"/>
      <c r="T292" s="106"/>
      <c r="U292" s="86"/>
      <c r="V292" s="86"/>
      <c r="W292" s="86"/>
      <c r="X292" s="86"/>
      <c r="Y292" s="86"/>
      <c r="Z292" s="86"/>
      <c r="AA292" s="86"/>
      <c r="AB292" s="86"/>
      <c r="AC292" s="86"/>
      <c r="AD292" s="86"/>
      <c r="AE292" s="86"/>
      <c r="AF292" s="512"/>
      <c r="AG292" s="86"/>
      <c r="AH292" s="86"/>
      <c r="AI292" s="86"/>
      <c r="AJ292" s="86"/>
      <c r="AK292" s="86"/>
      <c r="AL292" s="86"/>
      <c r="AM292" s="86"/>
      <c r="AN292" s="86"/>
      <c r="AO292" s="86"/>
      <c r="AP292" s="86"/>
      <c r="AQ292" s="86"/>
      <c r="AR292" s="86"/>
      <c r="AS292" s="86"/>
      <c r="AT292" s="86"/>
      <c r="AU292" s="86"/>
      <c r="AV292" s="86"/>
    </row>
    <row r="293" spans="1:48">
      <c r="A293" s="86"/>
      <c r="B293" s="86"/>
      <c r="C293" s="86"/>
      <c r="D293" s="86"/>
      <c r="E293" s="86"/>
      <c r="F293" s="86"/>
      <c r="G293" s="86"/>
      <c r="H293" s="86"/>
      <c r="I293" s="86"/>
      <c r="J293" s="86"/>
      <c r="K293" s="86"/>
      <c r="L293" s="86"/>
      <c r="M293" s="86"/>
      <c r="N293" s="86"/>
      <c r="O293" s="86"/>
      <c r="P293" s="86"/>
      <c r="Q293" s="86"/>
      <c r="R293" s="86"/>
      <c r="S293" s="86"/>
      <c r="T293" s="106"/>
      <c r="U293" s="86"/>
      <c r="V293" s="86"/>
      <c r="W293" s="86"/>
      <c r="X293" s="86"/>
      <c r="Y293" s="86"/>
      <c r="Z293" s="86"/>
      <c r="AA293" s="86"/>
      <c r="AB293" s="86"/>
      <c r="AC293" s="86"/>
      <c r="AD293" s="86"/>
      <c r="AE293" s="86"/>
      <c r="AF293" s="512"/>
      <c r="AG293" s="86"/>
      <c r="AH293" s="86"/>
      <c r="AI293" s="86"/>
      <c r="AJ293" s="86"/>
      <c r="AK293" s="86"/>
      <c r="AL293" s="86"/>
      <c r="AM293" s="86"/>
      <c r="AN293" s="86"/>
      <c r="AO293" s="86"/>
      <c r="AP293" s="86"/>
      <c r="AQ293" s="86"/>
      <c r="AR293" s="86"/>
      <c r="AS293" s="86"/>
      <c r="AT293" s="86"/>
      <c r="AU293" s="86"/>
      <c r="AV293" s="86"/>
    </row>
    <row r="294" spans="1:48">
      <c r="A294" s="86"/>
      <c r="B294" s="86"/>
      <c r="C294" s="86"/>
      <c r="D294" s="86"/>
      <c r="E294" s="86"/>
      <c r="F294" s="86"/>
      <c r="G294" s="86"/>
      <c r="H294" s="86"/>
      <c r="I294" s="86"/>
      <c r="J294" s="86"/>
      <c r="K294" s="86"/>
      <c r="L294" s="86"/>
      <c r="M294" s="86"/>
      <c r="N294" s="86"/>
      <c r="O294" s="86"/>
      <c r="P294" s="86"/>
      <c r="Q294" s="86"/>
      <c r="R294" s="86"/>
      <c r="S294" s="86"/>
      <c r="T294" s="106"/>
      <c r="U294" s="86"/>
      <c r="V294" s="86"/>
      <c r="W294" s="86"/>
      <c r="X294" s="86"/>
      <c r="Y294" s="86"/>
      <c r="Z294" s="86"/>
      <c r="AA294" s="86"/>
      <c r="AB294" s="86"/>
      <c r="AC294" s="86"/>
      <c r="AD294" s="86"/>
      <c r="AE294" s="86"/>
      <c r="AF294" s="512"/>
      <c r="AG294" s="86"/>
      <c r="AH294" s="86"/>
      <c r="AI294" s="86"/>
      <c r="AJ294" s="86"/>
      <c r="AK294" s="86"/>
      <c r="AL294" s="86"/>
      <c r="AM294" s="86"/>
      <c r="AN294" s="86"/>
      <c r="AO294" s="86"/>
      <c r="AP294" s="86"/>
      <c r="AQ294" s="86"/>
      <c r="AR294" s="86"/>
      <c r="AS294" s="86"/>
      <c r="AT294" s="86"/>
      <c r="AU294" s="86"/>
      <c r="AV294" s="86"/>
    </row>
    <row r="295" spans="1:48">
      <c r="A295" s="86"/>
      <c r="B295" s="86"/>
      <c r="C295" s="86"/>
      <c r="D295" s="86"/>
      <c r="E295" s="86"/>
      <c r="F295" s="86"/>
      <c r="G295" s="86"/>
      <c r="H295" s="86"/>
      <c r="I295" s="86"/>
      <c r="J295" s="86"/>
      <c r="K295" s="86"/>
      <c r="L295" s="86"/>
      <c r="M295" s="86"/>
      <c r="N295" s="86"/>
      <c r="O295" s="86"/>
      <c r="P295" s="86"/>
      <c r="Q295" s="86"/>
      <c r="R295" s="86"/>
      <c r="S295" s="86"/>
      <c r="T295" s="106"/>
      <c r="U295" s="86"/>
      <c r="V295" s="86"/>
      <c r="W295" s="86"/>
      <c r="X295" s="86"/>
      <c r="Y295" s="86"/>
      <c r="Z295" s="86"/>
      <c r="AA295" s="86"/>
      <c r="AB295" s="86"/>
      <c r="AC295" s="86"/>
      <c r="AD295" s="86"/>
      <c r="AE295" s="86"/>
      <c r="AF295" s="512"/>
      <c r="AG295" s="86"/>
      <c r="AH295" s="86"/>
      <c r="AI295" s="86"/>
      <c r="AJ295" s="86"/>
      <c r="AK295" s="86"/>
      <c r="AL295" s="86"/>
      <c r="AM295" s="86"/>
      <c r="AN295" s="86"/>
      <c r="AO295" s="86"/>
      <c r="AP295" s="86"/>
      <c r="AQ295" s="86"/>
      <c r="AR295" s="86"/>
      <c r="AS295" s="86"/>
      <c r="AT295" s="86"/>
      <c r="AU295" s="86"/>
      <c r="AV295" s="86"/>
    </row>
    <row r="296" spans="1:48">
      <c r="A296" s="86"/>
      <c r="B296" s="86"/>
      <c r="C296" s="86"/>
      <c r="D296" s="86"/>
      <c r="E296" s="86"/>
      <c r="F296" s="86"/>
      <c r="G296" s="86"/>
      <c r="H296" s="86"/>
      <c r="I296" s="86"/>
      <c r="J296" s="86"/>
      <c r="K296" s="86"/>
      <c r="L296" s="86"/>
      <c r="M296" s="86"/>
      <c r="N296" s="86"/>
      <c r="O296" s="86"/>
      <c r="P296" s="86"/>
      <c r="Q296" s="86"/>
      <c r="R296" s="86"/>
      <c r="S296" s="86"/>
      <c r="T296" s="106"/>
      <c r="U296" s="86"/>
      <c r="V296" s="86"/>
      <c r="W296" s="86"/>
      <c r="X296" s="86"/>
      <c r="Y296" s="86"/>
      <c r="Z296" s="86"/>
      <c r="AA296" s="86"/>
      <c r="AB296" s="86"/>
      <c r="AC296" s="86"/>
      <c r="AD296" s="86"/>
      <c r="AE296" s="86"/>
      <c r="AF296" s="512"/>
      <c r="AG296" s="86"/>
      <c r="AH296" s="86"/>
      <c r="AI296" s="86"/>
      <c r="AJ296" s="86"/>
      <c r="AK296" s="86"/>
      <c r="AL296" s="86"/>
      <c r="AM296" s="86"/>
      <c r="AN296" s="86"/>
      <c r="AO296" s="86"/>
      <c r="AP296" s="86"/>
      <c r="AQ296" s="86"/>
      <c r="AR296" s="86"/>
      <c r="AS296" s="86"/>
      <c r="AT296" s="86"/>
      <c r="AU296" s="86"/>
      <c r="AV296" s="86"/>
    </row>
    <row r="297" spans="1:48">
      <c r="A297" s="86"/>
      <c r="B297" s="86"/>
      <c r="C297" s="86"/>
      <c r="D297" s="86"/>
      <c r="E297" s="86"/>
      <c r="F297" s="86"/>
      <c r="G297" s="86"/>
      <c r="H297" s="86"/>
      <c r="I297" s="86"/>
      <c r="J297" s="86"/>
      <c r="K297" s="86"/>
      <c r="L297" s="86"/>
      <c r="M297" s="86"/>
      <c r="N297" s="86"/>
      <c r="O297" s="86"/>
      <c r="P297" s="86"/>
      <c r="Q297" s="86"/>
      <c r="R297" s="86"/>
      <c r="S297" s="86"/>
      <c r="T297" s="106"/>
      <c r="U297" s="86"/>
      <c r="V297" s="86"/>
      <c r="W297" s="86"/>
      <c r="X297" s="86"/>
      <c r="Y297" s="86"/>
      <c r="Z297" s="86"/>
      <c r="AA297" s="86"/>
      <c r="AB297" s="86"/>
      <c r="AC297" s="86"/>
      <c r="AD297" s="86"/>
      <c r="AE297" s="86"/>
      <c r="AF297" s="512"/>
      <c r="AG297" s="86"/>
      <c r="AH297" s="86"/>
      <c r="AI297" s="86"/>
      <c r="AJ297" s="86"/>
      <c r="AK297" s="86"/>
      <c r="AL297" s="86"/>
      <c r="AM297" s="86"/>
      <c r="AN297" s="86"/>
      <c r="AO297" s="86"/>
      <c r="AP297" s="86"/>
      <c r="AQ297" s="86"/>
      <c r="AR297" s="86"/>
      <c r="AS297" s="86"/>
      <c r="AT297" s="86"/>
      <c r="AU297" s="86"/>
      <c r="AV297" s="86"/>
    </row>
    <row r="298" spans="1:48">
      <c r="A298" s="86"/>
      <c r="B298" s="86"/>
      <c r="C298" s="86"/>
      <c r="D298" s="86"/>
      <c r="E298" s="86"/>
      <c r="F298" s="86"/>
      <c r="G298" s="86"/>
      <c r="H298" s="86"/>
      <c r="I298" s="86"/>
      <c r="J298" s="86"/>
      <c r="K298" s="86"/>
      <c r="L298" s="86"/>
      <c r="M298" s="86"/>
      <c r="N298" s="86"/>
      <c r="O298" s="86"/>
      <c r="P298" s="86"/>
      <c r="Q298" s="86"/>
      <c r="R298" s="86"/>
      <c r="S298" s="86"/>
      <c r="T298" s="106"/>
      <c r="U298" s="86"/>
      <c r="V298" s="86"/>
      <c r="W298" s="86"/>
      <c r="X298" s="86"/>
      <c r="Y298" s="86"/>
      <c r="Z298" s="86"/>
      <c r="AA298" s="86"/>
      <c r="AB298" s="86"/>
      <c r="AC298" s="86"/>
      <c r="AD298" s="86"/>
      <c r="AE298" s="86"/>
      <c r="AF298" s="512"/>
      <c r="AG298" s="86"/>
      <c r="AH298" s="86"/>
      <c r="AI298" s="86"/>
      <c r="AJ298" s="86"/>
      <c r="AK298" s="86"/>
      <c r="AL298" s="86"/>
      <c r="AM298" s="86"/>
      <c r="AN298" s="86"/>
      <c r="AO298" s="86"/>
      <c r="AP298" s="86"/>
      <c r="AQ298" s="86"/>
      <c r="AR298" s="86"/>
      <c r="AS298" s="86"/>
      <c r="AT298" s="86"/>
      <c r="AU298" s="86"/>
      <c r="AV298" s="86"/>
    </row>
    <row r="299" spans="1:48">
      <c r="A299" s="86"/>
      <c r="B299" s="86"/>
      <c r="C299" s="86"/>
      <c r="D299" s="86"/>
      <c r="E299" s="86"/>
      <c r="F299" s="86"/>
      <c r="G299" s="86"/>
      <c r="H299" s="86"/>
      <c r="I299" s="86"/>
      <c r="J299" s="86"/>
      <c r="K299" s="86"/>
      <c r="L299" s="86"/>
      <c r="M299" s="86"/>
      <c r="N299" s="86"/>
      <c r="O299" s="86"/>
      <c r="P299" s="86"/>
      <c r="Q299" s="86"/>
      <c r="R299" s="86"/>
      <c r="S299" s="86"/>
      <c r="T299" s="106"/>
      <c r="U299" s="86"/>
      <c r="V299" s="86"/>
      <c r="W299" s="86"/>
      <c r="X299" s="86"/>
      <c r="Y299" s="86"/>
      <c r="Z299" s="86"/>
      <c r="AA299" s="86"/>
      <c r="AB299" s="86"/>
      <c r="AC299" s="86"/>
      <c r="AD299" s="86"/>
      <c r="AE299" s="86"/>
      <c r="AF299" s="512"/>
      <c r="AG299" s="86"/>
      <c r="AH299" s="86"/>
      <c r="AI299" s="86"/>
      <c r="AJ299" s="86"/>
      <c r="AK299" s="86"/>
      <c r="AL299" s="86"/>
      <c r="AM299" s="86"/>
      <c r="AN299" s="86"/>
      <c r="AO299" s="86"/>
      <c r="AP299" s="86"/>
      <c r="AQ299" s="86"/>
      <c r="AR299" s="86"/>
      <c r="AS299" s="86"/>
      <c r="AT299" s="86"/>
      <c r="AU299" s="86"/>
      <c r="AV299" s="86"/>
    </row>
    <row r="300" spans="1:48">
      <c r="A300" s="86"/>
      <c r="B300" s="86"/>
      <c r="C300" s="86"/>
      <c r="D300" s="86"/>
      <c r="E300" s="86"/>
      <c r="F300" s="86"/>
      <c r="G300" s="86"/>
      <c r="H300" s="86"/>
      <c r="I300" s="86"/>
      <c r="J300" s="86"/>
      <c r="K300" s="86"/>
      <c r="L300" s="86"/>
      <c r="M300" s="86"/>
      <c r="N300" s="86"/>
      <c r="O300" s="86"/>
      <c r="P300" s="86"/>
      <c r="Q300" s="86"/>
      <c r="R300" s="86"/>
      <c r="S300" s="86"/>
      <c r="T300" s="106"/>
      <c r="U300" s="86"/>
      <c r="V300" s="86"/>
      <c r="W300" s="86"/>
      <c r="X300" s="86"/>
      <c r="Y300" s="86"/>
      <c r="Z300" s="86"/>
      <c r="AA300" s="86"/>
      <c r="AB300" s="86"/>
      <c r="AC300" s="86"/>
      <c r="AD300" s="86"/>
      <c r="AE300" s="86"/>
      <c r="AF300" s="512"/>
      <c r="AG300" s="86"/>
      <c r="AH300" s="86"/>
      <c r="AI300" s="86"/>
      <c r="AJ300" s="86"/>
      <c r="AK300" s="86"/>
      <c r="AL300" s="86"/>
      <c r="AM300" s="86"/>
      <c r="AN300" s="86"/>
      <c r="AO300" s="86"/>
      <c r="AP300" s="86"/>
      <c r="AQ300" s="86"/>
      <c r="AR300" s="86"/>
      <c r="AS300" s="86"/>
      <c r="AT300" s="86"/>
      <c r="AU300" s="86"/>
      <c r="AV300" s="86"/>
    </row>
    <row r="301" spans="1:48">
      <c r="A301" s="86"/>
      <c r="B301" s="86"/>
      <c r="C301" s="86"/>
      <c r="D301" s="86"/>
      <c r="E301" s="86"/>
      <c r="F301" s="86"/>
      <c r="G301" s="86"/>
      <c r="H301" s="86"/>
      <c r="I301" s="86"/>
      <c r="J301" s="86"/>
      <c r="K301" s="86"/>
      <c r="L301" s="86"/>
      <c r="M301" s="86"/>
      <c r="N301" s="86"/>
      <c r="O301" s="86"/>
      <c r="P301" s="86"/>
      <c r="Q301" s="86"/>
      <c r="R301" s="86"/>
      <c r="S301" s="86"/>
      <c r="T301" s="106"/>
      <c r="U301" s="86"/>
      <c r="V301" s="86"/>
      <c r="W301" s="86"/>
      <c r="X301" s="86"/>
      <c r="Y301" s="86"/>
      <c r="Z301" s="86"/>
      <c r="AA301" s="86"/>
      <c r="AB301" s="86"/>
      <c r="AC301" s="86"/>
      <c r="AD301" s="86"/>
      <c r="AE301" s="86"/>
      <c r="AF301" s="512"/>
      <c r="AG301" s="86"/>
      <c r="AH301" s="86"/>
      <c r="AI301" s="86"/>
      <c r="AJ301" s="86"/>
      <c r="AK301" s="86"/>
      <c r="AL301" s="86"/>
      <c r="AM301" s="86"/>
      <c r="AN301" s="86"/>
      <c r="AO301" s="86"/>
      <c r="AP301" s="86"/>
      <c r="AQ301" s="86"/>
      <c r="AR301" s="86"/>
      <c r="AS301" s="86"/>
      <c r="AT301" s="86"/>
      <c r="AU301" s="86"/>
      <c r="AV301" s="86"/>
    </row>
    <row r="302" spans="1:48">
      <c r="A302" s="86"/>
      <c r="B302" s="86"/>
      <c r="C302" s="86"/>
      <c r="D302" s="86"/>
      <c r="E302" s="86"/>
      <c r="F302" s="86"/>
      <c r="G302" s="86"/>
      <c r="H302" s="86"/>
      <c r="I302" s="86"/>
      <c r="J302" s="86"/>
      <c r="K302" s="86"/>
      <c r="L302" s="86"/>
      <c r="M302" s="86"/>
      <c r="N302" s="86"/>
      <c r="O302" s="86"/>
      <c r="P302" s="86"/>
      <c r="Q302" s="86"/>
      <c r="R302" s="86"/>
      <c r="S302" s="86"/>
      <c r="T302" s="106"/>
      <c r="U302" s="86"/>
      <c r="V302" s="86"/>
      <c r="W302" s="86"/>
      <c r="X302" s="86"/>
      <c r="Y302" s="86"/>
      <c r="Z302" s="86"/>
      <c r="AA302" s="86"/>
      <c r="AB302" s="86"/>
      <c r="AC302" s="86"/>
      <c r="AD302" s="86"/>
      <c r="AE302" s="86"/>
      <c r="AF302" s="512"/>
      <c r="AG302" s="86"/>
      <c r="AH302" s="86"/>
      <c r="AI302" s="86"/>
      <c r="AJ302" s="86"/>
      <c r="AK302" s="86"/>
      <c r="AL302" s="86"/>
      <c r="AM302" s="86"/>
      <c r="AN302" s="86"/>
      <c r="AO302" s="86"/>
      <c r="AP302" s="86"/>
      <c r="AQ302" s="86"/>
      <c r="AR302" s="86"/>
      <c r="AS302" s="86"/>
      <c r="AT302" s="86"/>
      <c r="AU302" s="86"/>
      <c r="AV302" s="86"/>
    </row>
    <row r="303" spans="1:48">
      <c r="A303" s="86"/>
      <c r="B303" s="86"/>
      <c r="C303" s="86"/>
      <c r="D303" s="86"/>
      <c r="E303" s="86"/>
      <c r="F303" s="86"/>
      <c r="G303" s="86"/>
      <c r="H303" s="86"/>
      <c r="I303" s="86"/>
      <c r="J303" s="86"/>
      <c r="K303" s="86"/>
      <c r="L303" s="86"/>
      <c r="M303" s="86"/>
      <c r="N303" s="86"/>
      <c r="O303" s="86"/>
      <c r="P303" s="86"/>
      <c r="Q303" s="86"/>
      <c r="R303" s="86"/>
      <c r="S303" s="86"/>
      <c r="T303" s="106"/>
      <c r="U303" s="86"/>
      <c r="V303" s="86"/>
      <c r="W303" s="86"/>
      <c r="X303" s="86"/>
      <c r="Y303" s="86"/>
      <c r="Z303" s="86"/>
      <c r="AA303" s="86"/>
      <c r="AB303" s="86"/>
      <c r="AC303" s="86"/>
      <c r="AD303" s="86"/>
      <c r="AE303" s="86"/>
      <c r="AF303" s="512"/>
      <c r="AG303" s="86"/>
      <c r="AH303" s="86"/>
      <c r="AI303" s="86"/>
      <c r="AJ303" s="86"/>
      <c r="AK303" s="86"/>
      <c r="AL303" s="86"/>
      <c r="AM303" s="86"/>
      <c r="AN303" s="86"/>
      <c r="AO303" s="86"/>
      <c r="AP303" s="86"/>
      <c r="AQ303" s="86"/>
      <c r="AR303" s="86"/>
      <c r="AS303" s="86"/>
      <c r="AT303" s="86"/>
      <c r="AU303" s="86"/>
      <c r="AV303" s="86"/>
    </row>
    <row r="304" spans="1:48">
      <c r="A304" s="86"/>
      <c r="B304" s="86"/>
      <c r="C304" s="86"/>
      <c r="D304" s="86"/>
      <c r="E304" s="86"/>
      <c r="F304" s="86"/>
      <c r="G304" s="86"/>
      <c r="H304" s="86"/>
      <c r="I304" s="86"/>
      <c r="J304" s="86"/>
      <c r="K304" s="86"/>
      <c r="L304" s="86"/>
      <c r="M304" s="86"/>
      <c r="N304" s="86"/>
      <c r="O304" s="86"/>
      <c r="P304" s="86"/>
      <c r="Q304" s="86"/>
      <c r="R304" s="86"/>
      <c r="S304" s="86"/>
      <c r="T304" s="106"/>
      <c r="U304" s="86"/>
      <c r="V304" s="86"/>
      <c r="W304" s="86"/>
      <c r="X304" s="86"/>
      <c r="Y304" s="86"/>
      <c r="Z304" s="86"/>
      <c r="AA304" s="86"/>
      <c r="AB304" s="86"/>
      <c r="AC304" s="86"/>
      <c r="AD304" s="86"/>
      <c r="AE304" s="86"/>
      <c r="AF304" s="512"/>
      <c r="AG304" s="86"/>
      <c r="AH304" s="86"/>
      <c r="AI304" s="86"/>
      <c r="AJ304" s="86"/>
      <c r="AK304" s="86"/>
      <c r="AL304" s="86"/>
      <c r="AM304" s="86"/>
      <c r="AN304" s="86"/>
      <c r="AO304" s="86"/>
      <c r="AP304" s="86"/>
      <c r="AQ304" s="86"/>
      <c r="AR304" s="86"/>
      <c r="AS304" s="86"/>
      <c r="AT304" s="86"/>
      <c r="AU304" s="86"/>
      <c r="AV304" s="86"/>
    </row>
    <row r="305" spans="1:48">
      <c r="A305" s="86"/>
      <c r="B305" s="86"/>
      <c r="C305" s="86"/>
      <c r="D305" s="86"/>
      <c r="E305" s="86"/>
      <c r="F305" s="86"/>
      <c r="G305" s="86"/>
      <c r="H305" s="86"/>
      <c r="I305" s="86"/>
      <c r="J305" s="86"/>
      <c r="K305" s="86"/>
      <c r="L305" s="86"/>
      <c r="M305" s="86"/>
      <c r="N305" s="86"/>
      <c r="O305" s="86"/>
      <c r="P305" s="86"/>
      <c r="Q305" s="86"/>
      <c r="R305" s="86"/>
      <c r="S305" s="86"/>
      <c r="T305" s="106"/>
      <c r="U305" s="86"/>
      <c r="V305" s="86"/>
      <c r="W305" s="86"/>
      <c r="X305" s="86"/>
      <c r="Y305" s="86"/>
      <c r="Z305" s="86"/>
      <c r="AA305" s="86"/>
      <c r="AB305" s="86"/>
      <c r="AC305" s="86"/>
      <c r="AD305" s="86"/>
      <c r="AE305" s="86"/>
      <c r="AF305" s="512"/>
      <c r="AG305" s="86"/>
      <c r="AH305" s="86"/>
      <c r="AI305" s="86"/>
      <c r="AJ305" s="86"/>
      <c r="AK305" s="86"/>
      <c r="AL305" s="86"/>
      <c r="AM305" s="86"/>
      <c r="AN305" s="86"/>
      <c r="AO305" s="86"/>
      <c r="AP305" s="86"/>
      <c r="AQ305" s="86"/>
      <c r="AR305" s="86"/>
      <c r="AS305" s="86"/>
      <c r="AT305" s="86"/>
      <c r="AU305" s="86"/>
      <c r="AV305" s="86"/>
    </row>
    <row r="306" spans="1:48">
      <c r="A306" s="86"/>
      <c r="B306" s="86"/>
      <c r="C306" s="86"/>
      <c r="D306" s="86"/>
      <c r="E306" s="86"/>
      <c r="F306" s="86"/>
      <c r="G306" s="86"/>
      <c r="H306" s="86"/>
      <c r="I306" s="86"/>
      <c r="J306" s="86"/>
      <c r="K306" s="86"/>
      <c r="L306" s="86"/>
      <c r="M306" s="86"/>
      <c r="N306" s="86"/>
      <c r="O306" s="86"/>
      <c r="P306" s="86"/>
      <c r="Q306" s="86"/>
      <c r="R306" s="86"/>
      <c r="S306" s="86"/>
      <c r="T306" s="106"/>
      <c r="U306" s="86"/>
      <c r="V306" s="86"/>
      <c r="W306" s="86"/>
      <c r="X306" s="86"/>
      <c r="Y306" s="86"/>
      <c r="Z306" s="86"/>
      <c r="AA306" s="86"/>
      <c r="AB306" s="86"/>
      <c r="AC306" s="86"/>
      <c r="AD306" s="86"/>
      <c r="AE306" s="86"/>
      <c r="AF306" s="512"/>
      <c r="AG306" s="86"/>
      <c r="AH306" s="86"/>
      <c r="AI306" s="86"/>
      <c r="AJ306" s="86"/>
      <c r="AK306" s="86"/>
      <c r="AL306" s="86"/>
      <c r="AM306" s="86"/>
      <c r="AN306" s="86"/>
      <c r="AO306" s="86"/>
      <c r="AP306" s="86"/>
      <c r="AQ306" s="86"/>
      <c r="AR306" s="86"/>
      <c r="AS306" s="86"/>
      <c r="AT306" s="86"/>
      <c r="AU306" s="86"/>
      <c r="AV306" s="86"/>
    </row>
    <row r="307" spans="1:48">
      <c r="A307" s="86"/>
      <c r="B307" s="86"/>
      <c r="C307" s="86"/>
      <c r="D307" s="86"/>
      <c r="E307" s="86"/>
      <c r="F307" s="86"/>
      <c r="G307" s="86"/>
      <c r="H307" s="86"/>
      <c r="I307" s="86"/>
      <c r="J307" s="86"/>
      <c r="K307" s="86"/>
      <c r="L307" s="86"/>
      <c r="M307" s="86"/>
      <c r="N307" s="86"/>
      <c r="O307" s="86"/>
      <c r="P307" s="86"/>
      <c r="Q307" s="86"/>
      <c r="R307" s="86"/>
      <c r="S307" s="86"/>
      <c r="T307" s="106"/>
      <c r="U307" s="86"/>
      <c r="V307" s="86"/>
      <c r="W307" s="86"/>
      <c r="X307" s="86"/>
      <c r="Y307" s="86"/>
      <c r="Z307" s="86"/>
      <c r="AA307" s="86"/>
      <c r="AB307" s="86"/>
      <c r="AC307" s="86"/>
      <c r="AD307" s="86"/>
      <c r="AE307" s="86"/>
      <c r="AF307" s="512"/>
      <c r="AG307" s="86"/>
      <c r="AH307" s="86"/>
      <c r="AI307" s="86"/>
      <c r="AJ307" s="86"/>
      <c r="AK307" s="86"/>
      <c r="AL307" s="86"/>
      <c r="AM307" s="86"/>
      <c r="AN307" s="86"/>
      <c r="AO307" s="86"/>
      <c r="AP307" s="86"/>
      <c r="AQ307" s="86"/>
      <c r="AR307" s="86"/>
      <c r="AS307" s="86"/>
      <c r="AT307" s="86"/>
      <c r="AU307" s="86"/>
      <c r="AV307" s="86"/>
    </row>
    <row r="308" spans="1:48">
      <c r="A308" s="86"/>
      <c r="B308" s="86"/>
      <c r="C308" s="86"/>
      <c r="D308" s="86"/>
      <c r="E308" s="86"/>
      <c r="F308" s="86"/>
      <c r="G308" s="86"/>
      <c r="H308" s="86"/>
      <c r="I308" s="86"/>
      <c r="J308" s="86"/>
      <c r="K308" s="86"/>
      <c r="L308" s="86"/>
      <c r="M308" s="86"/>
      <c r="N308" s="86"/>
      <c r="O308" s="86"/>
      <c r="P308" s="86"/>
      <c r="Q308" s="86"/>
      <c r="R308" s="86"/>
      <c r="S308" s="86"/>
      <c r="T308" s="106"/>
      <c r="U308" s="86"/>
      <c r="V308" s="86"/>
      <c r="W308" s="86"/>
      <c r="X308" s="86"/>
      <c r="Y308" s="86"/>
      <c r="Z308" s="86"/>
      <c r="AA308" s="86"/>
      <c r="AB308" s="86"/>
      <c r="AC308" s="86"/>
      <c r="AD308" s="86"/>
      <c r="AE308" s="86"/>
      <c r="AF308" s="512"/>
      <c r="AG308" s="86"/>
      <c r="AH308" s="86"/>
      <c r="AI308" s="86"/>
      <c r="AJ308" s="86"/>
      <c r="AK308" s="86"/>
      <c r="AL308" s="86"/>
      <c r="AM308" s="86"/>
      <c r="AN308" s="86"/>
      <c r="AO308" s="86"/>
      <c r="AP308" s="86"/>
      <c r="AQ308" s="86"/>
      <c r="AR308" s="86"/>
      <c r="AS308" s="86"/>
      <c r="AT308" s="86"/>
      <c r="AU308" s="86"/>
      <c r="AV308" s="86"/>
    </row>
    <row r="309" spans="1:48">
      <c r="A309" s="86"/>
      <c r="B309" s="86"/>
      <c r="C309" s="86"/>
      <c r="D309" s="86"/>
      <c r="E309" s="86"/>
      <c r="F309" s="86"/>
      <c r="G309" s="86"/>
      <c r="H309" s="86"/>
      <c r="I309" s="86"/>
      <c r="J309" s="86"/>
      <c r="K309" s="86"/>
      <c r="L309" s="86"/>
      <c r="M309" s="86"/>
      <c r="N309" s="86"/>
      <c r="O309" s="86"/>
      <c r="P309" s="86"/>
      <c r="Q309" s="86"/>
      <c r="R309" s="86"/>
      <c r="S309" s="86"/>
      <c r="T309" s="106"/>
      <c r="U309" s="86"/>
      <c r="V309" s="86"/>
      <c r="W309" s="86"/>
      <c r="X309" s="86"/>
      <c r="Y309" s="86"/>
      <c r="Z309" s="86"/>
      <c r="AA309" s="86"/>
      <c r="AB309" s="86"/>
      <c r="AC309" s="86"/>
      <c r="AD309" s="86"/>
      <c r="AE309" s="86"/>
      <c r="AF309" s="512"/>
      <c r="AG309" s="86"/>
      <c r="AH309" s="86"/>
      <c r="AI309" s="86"/>
      <c r="AJ309" s="86"/>
      <c r="AK309" s="86"/>
      <c r="AL309" s="86"/>
      <c r="AM309" s="86"/>
      <c r="AN309" s="86"/>
      <c r="AO309" s="86"/>
      <c r="AP309" s="86"/>
      <c r="AQ309" s="86"/>
      <c r="AR309" s="86"/>
      <c r="AS309" s="86"/>
      <c r="AT309" s="86"/>
      <c r="AU309" s="86"/>
      <c r="AV309" s="86"/>
    </row>
    <row r="310" spans="1:48">
      <c r="A310" s="86"/>
      <c r="B310" s="86"/>
      <c r="C310" s="86"/>
      <c r="D310" s="86"/>
      <c r="E310" s="86"/>
      <c r="F310" s="86"/>
      <c r="G310" s="86"/>
      <c r="H310" s="86"/>
      <c r="I310" s="86"/>
      <c r="J310" s="86"/>
      <c r="K310" s="86"/>
      <c r="L310" s="86"/>
      <c r="M310" s="86"/>
      <c r="N310" s="86"/>
      <c r="O310" s="86"/>
      <c r="P310" s="86"/>
      <c r="Q310" s="86"/>
      <c r="R310" s="86"/>
      <c r="S310" s="86"/>
      <c r="T310" s="106"/>
      <c r="U310" s="86"/>
      <c r="V310" s="86"/>
      <c r="W310" s="86"/>
      <c r="X310" s="86"/>
      <c r="Y310" s="86"/>
      <c r="Z310" s="86"/>
      <c r="AA310" s="86"/>
      <c r="AB310" s="86"/>
      <c r="AC310" s="86"/>
      <c r="AD310" s="86"/>
      <c r="AE310" s="86"/>
      <c r="AF310" s="512"/>
      <c r="AG310" s="86"/>
      <c r="AH310" s="86"/>
      <c r="AI310" s="86"/>
      <c r="AJ310" s="86"/>
      <c r="AK310" s="86"/>
      <c r="AL310" s="86"/>
      <c r="AM310" s="86"/>
      <c r="AN310" s="86"/>
      <c r="AO310" s="86"/>
      <c r="AP310" s="86"/>
      <c r="AQ310" s="86"/>
      <c r="AR310" s="86"/>
      <c r="AS310" s="86"/>
      <c r="AT310" s="86"/>
      <c r="AU310" s="86"/>
      <c r="AV310" s="86"/>
    </row>
    <row r="311" spans="1:48">
      <c r="A311" s="86"/>
      <c r="B311" s="86"/>
      <c r="C311" s="86"/>
      <c r="D311" s="86"/>
      <c r="E311" s="86"/>
      <c r="F311" s="86"/>
      <c r="G311" s="86"/>
      <c r="H311" s="86"/>
      <c r="I311" s="86"/>
      <c r="J311" s="86"/>
      <c r="K311" s="86"/>
      <c r="L311" s="86"/>
      <c r="M311" s="86"/>
      <c r="N311" s="86"/>
      <c r="O311" s="86"/>
      <c r="P311" s="86"/>
      <c r="Q311" s="86"/>
      <c r="R311" s="86"/>
      <c r="S311" s="86"/>
      <c r="T311" s="106"/>
      <c r="U311" s="86"/>
      <c r="V311" s="86"/>
      <c r="W311" s="86"/>
      <c r="X311" s="86"/>
      <c r="Y311" s="86"/>
      <c r="Z311" s="86"/>
      <c r="AA311" s="86"/>
      <c r="AB311" s="86"/>
      <c r="AC311" s="86"/>
      <c r="AD311" s="86"/>
      <c r="AE311" s="86"/>
      <c r="AF311" s="512"/>
      <c r="AG311" s="86"/>
      <c r="AH311" s="86"/>
      <c r="AI311" s="86"/>
      <c r="AJ311" s="86"/>
      <c r="AK311" s="86"/>
      <c r="AL311" s="86"/>
      <c r="AM311" s="86"/>
      <c r="AN311" s="86"/>
      <c r="AO311" s="86"/>
      <c r="AP311" s="86"/>
      <c r="AQ311" s="86"/>
      <c r="AR311" s="86"/>
      <c r="AS311" s="86"/>
      <c r="AT311" s="86"/>
      <c r="AU311" s="86"/>
      <c r="AV311" s="86"/>
    </row>
    <row r="312" spans="1:48">
      <c r="A312" s="86"/>
      <c r="B312" s="86"/>
      <c r="C312" s="86"/>
      <c r="D312" s="86"/>
      <c r="E312" s="86"/>
      <c r="F312" s="86"/>
      <c r="G312" s="86"/>
      <c r="H312" s="86"/>
      <c r="I312" s="86"/>
      <c r="J312" s="86"/>
      <c r="K312" s="86"/>
      <c r="L312" s="86"/>
      <c r="M312" s="86"/>
      <c r="N312" s="86"/>
      <c r="O312" s="86"/>
      <c r="P312" s="86"/>
      <c r="Q312" s="86"/>
      <c r="R312" s="86"/>
      <c r="S312" s="86"/>
      <c r="T312" s="106"/>
      <c r="U312" s="86"/>
      <c r="V312" s="86"/>
      <c r="W312" s="86"/>
      <c r="X312" s="86"/>
      <c r="Y312" s="86"/>
      <c r="Z312" s="86"/>
      <c r="AA312" s="86"/>
      <c r="AB312" s="86"/>
      <c r="AC312" s="86"/>
      <c r="AD312" s="86"/>
      <c r="AE312" s="86"/>
      <c r="AF312" s="512"/>
      <c r="AG312" s="86"/>
      <c r="AH312" s="86"/>
      <c r="AI312" s="86"/>
      <c r="AJ312" s="86"/>
      <c r="AK312" s="86"/>
      <c r="AL312" s="86"/>
      <c r="AM312" s="86"/>
      <c r="AN312" s="86"/>
      <c r="AO312" s="86"/>
      <c r="AP312" s="86"/>
      <c r="AQ312" s="86"/>
      <c r="AR312" s="86"/>
      <c r="AS312" s="86"/>
      <c r="AT312" s="86"/>
      <c r="AU312" s="86"/>
      <c r="AV312" s="86"/>
    </row>
    <row r="313" spans="1:48">
      <c r="A313" s="86"/>
      <c r="B313" s="86"/>
      <c r="C313" s="86"/>
      <c r="D313" s="86"/>
      <c r="E313" s="86"/>
      <c r="F313" s="86"/>
      <c r="G313" s="86"/>
      <c r="H313" s="86"/>
      <c r="I313" s="86"/>
      <c r="J313" s="86"/>
      <c r="K313" s="86"/>
      <c r="L313" s="86"/>
      <c r="M313" s="86"/>
      <c r="N313" s="86"/>
      <c r="O313" s="86"/>
      <c r="P313" s="86"/>
      <c r="Q313" s="86"/>
      <c r="R313" s="86"/>
      <c r="S313" s="86"/>
      <c r="T313" s="106"/>
      <c r="U313" s="86"/>
      <c r="V313" s="86"/>
      <c r="W313" s="86"/>
      <c r="X313" s="86"/>
      <c r="Y313" s="86"/>
      <c r="Z313" s="86"/>
      <c r="AA313" s="86"/>
      <c r="AB313" s="86"/>
      <c r="AC313" s="86"/>
      <c r="AD313" s="86"/>
      <c r="AE313" s="86"/>
      <c r="AF313" s="512"/>
      <c r="AG313" s="86"/>
      <c r="AH313" s="86"/>
      <c r="AI313" s="86"/>
      <c r="AJ313" s="86"/>
      <c r="AK313" s="86"/>
      <c r="AL313" s="86"/>
      <c r="AM313" s="86"/>
      <c r="AN313" s="86"/>
      <c r="AO313" s="86"/>
      <c r="AP313" s="86"/>
      <c r="AQ313" s="86"/>
      <c r="AR313" s="86"/>
      <c r="AS313" s="86"/>
      <c r="AT313" s="86"/>
      <c r="AU313" s="86"/>
      <c r="AV313" s="86"/>
    </row>
    <row r="314" spans="1:48">
      <c r="A314" s="86"/>
      <c r="B314" s="86"/>
      <c r="C314" s="86"/>
      <c r="D314" s="86"/>
      <c r="E314" s="86"/>
      <c r="F314" s="86"/>
      <c r="G314" s="86"/>
      <c r="H314" s="86"/>
      <c r="I314" s="86"/>
      <c r="J314" s="86"/>
      <c r="K314" s="86"/>
      <c r="L314" s="86"/>
      <c r="M314" s="86"/>
      <c r="N314" s="86"/>
      <c r="O314" s="86"/>
      <c r="P314" s="86"/>
      <c r="Q314" s="86"/>
      <c r="R314" s="86"/>
      <c r="S314" s="86"/>
      <c r="T314" s="106"/>
      <c r="U314" s="86"/>
      <c r="V314" s="86"/>
      <c r="W314" s="86"/>
      <c r="X314" s="86"/>
      <c r="Y314" s="86"/>
      <c r="Z314" s="86"/>
      <c r="AA314" s="86"/>
      <c r="AB314" s="86"/>
      <c r="AC314" s="86"/>
      <c r="AD314" s="86"/>
      <c r="AE314" s="86"/>
      <c r="AF314" s="512"/>
      <c r="AG314" s="86"/>
      <c r="AH314" s="86"/>
      <c r="AI314" s="86"/>
      <c r="AJ314" s="86"/>
      <c r="AK314" s="86"/>
      <c r="AL314" s="86"/>
      <c r="AM314" s="86"/>
      <c r="AN314" s="86"/>
      <c r="AO314" s="86"/>
      <c r="AP314" s="86"/>
      <c r="AQ314" s="86"/>
      <c r="AR314" s="86"/>
      <c r="AS314" s="86"/>
      <c r="AT314" s="86"/>
      <c r="AU314" s="86"/>
      <c r="AV314" s="86"/>
    </row>
    <row r="315" spans="1:48">
      <c r="A315" s="86"/>
      <c r="B315" s="86"/>
      <c r="C315" s="86"/>
      <c r="D315" s="86"/>
      <c r="E315" s="86"/>
      <c r="F315" s="86"/>
      <c r="G315" s="86"/>
      <c r="H315" s="86"/>
      <c r="I315" s="86"/>
      <c r="J315" s="86"/>
      <c r="K315" s="86"/>
      <c r="L315" s="86"/>
      <c r="M315" s="86"/>
      <c r="N315" s="86"/>
      <c r="O315" s="86"/>
      <c r="P315" s="86"/>
      <c r="Q315" s="86"/>
      <c r="R315" s="86"/>
      <c r="S315" s="86"/>
      <c r="T315" s="106"/>
      <c r="U315" s="86"/>
      <c r="V315" s="86"/>
      <c r="W315" s="86"/>
      <c r="X315" s="86"/>
      <c r="Y315" s="86"/>
      <c r="Z315" s="86"/>
      <c r="AA315" s="86"/>
      <c r="AB315" s="86"/>
      <c r="AC315" s="86"/>
      <c r="AD315" s="86"/>
      <c r="AE315" s="86"/>
      <c r="AF315" s="512"/>
      <c r="AG315" s="86"/>
      <c r="AH315" s="86"/>
      <c r="AI315" s="86"/>
      <c r="AJ315" s="86"/>
      <c r="AK315" s="86"/>
      <c r="AL315" s="86"/>
      <c r="AM315" s="86"/>
      <c r="AN315" s="86"/>
      <c r="AO315" s="86"/>
      <c r="AP315" s="86"/>
      <c r="AQ315" s="86"/>
      <c r="AR315" s="86"/>
      <c r="AS315" s="86"/>
      <c r="AT315" s="86"/>
      <c r="AU315" s="86"/>
      <c r="AV315" s="86"/>
    </row>
    <row r="316" spans="1:48">
      <c r="A316" s="86"/>
      <c r="B316" s="86"/>
      <c r="C316" s="86"/>
      <c r="D316" s="86"/>
      <c r="E316" s="86"/>
      <c r="F316" s="86"/>
      <c r="G316" s="86"/>
      <c r="H316" s="86"/>
      <c r="I316" s="86"/>
      <c r="J316" s="86"/>
      <c r="K316" s="86"/>
      <c r="L316" s="86"/>
      <c r="M316" s="86"/>
      <c r="N316" s="86"/>
      <c r="O316" s="86"/>
      <c r="P316" s="86"/>
      <c r="Q316" s="86"/>
      <c r="R316" s="86"/>
      <c r="S316" s="86"/>
      <c r="T316" s="106"/>
      <c r="U316" s="86"/>
      <c r="V316" s="86"/>
      <c r="W316" s="86"/>
      <c r="X316" s="86"/>
      <c r="Y316" s="86"/>
      <c r="Z316" s="86"/>
      <c r="AA316" s="86"/>
      <c r="AB316" s="86"/>
      <c r="AC316" s="86"/>
      <c r="AD316" s="86"/>
      <c r="AE316" s="86"/>
      <c r="AF316" s="512"/>
      <c r="AG316" s="86"/>
      <c r="AH316" s="86"/>
      <c r="AI316" s="86"/>
      <c r="AJ316" s="86"/>
      <c r="AK316" s="86"/>
      <c r="AL316" s="86"/>
      <c r="AM316" s="86"/>
      <c r="AN316" s="86"/>
      <c r="AO316" s="86"/>
      <c r="AP316" s="86"/>
      <c r="AQ316" s="86"/>
      <c r="AR316" s="86"/>
      <c r="AS316" s="86"/>
      <c r="AT316" s="86"/>
      <c r="AU316" s="86"/>
      <c r="AV316" s="86"/>
    </row>
    <row r="317" spans="1:48">
      <c r="A317" s="86"/>
      <c r="B317" s="86"/>
      <c r="C317" s="86"/>
      <c r="D317" s="86"/>
      <c r="E317" s="86"/>
      <c r="F317" s="86"/>
      <c r="G317" s="86"/>
      <c r="H317" s="86"/>
      <c r="I317" s="86"/>
      <c r="J317" s="86"/>
      <c r="K317" s="86"/>
      <c r="L317" s="86"/>
      <c r="M317" s="86"/>
      <c r="N317" s="86"/>
      <c r="O317" s="86"/>
      <c r="P317" s="86"/>
      <c r="Q317" s="86"/>
      <c r="R317" s="86"/>
      <c r="S317" s="86"/>
      <c r="T317" s="106"/>
      <c r="U317" s="86"/>
      <c r="V317" s="86"/>
      <c r="W317" s="86"/>
      <c r="X317" s="86"/>
      <c r="Y317" s="86"/>
      <c r="Z317" s="86"/>
      <c r="AA317" s="86"/>
      <c r="AB317" s="86"/>
      <c r="AC317" s="86"/>
      <c r="AD317" s="86"/>
      <c r="AE317" s="86"/>
      <c r="AF317" s="512"/>
      <c r="AG317" s="86"/>
      <c r="AH317" s="86"/>
      <c r="AI317" s="86"/>
      <c r="AJ317" s="86"/>
      <c r="AK317" s="86"/>
      <c r="AL317" s="86"/>
      <c r="AM317" s="86"/>
      <c r="AN317" s="86"/>
      <c r="AO317" s="86"/>
      <c r="AP317" s="86"/>
      <c r="AQ317" s="86"/>
      <c r="AR317" s="86"/>
      <c r="AS317" s="86"/>
      <c r="AT317" s="86"/>
      <c r="AU317" s="86"/>
      <c r="AV317" s="86"/>
    </row>
    <row r="318" spans="1:48">
      <c r="A318" s="86"/>
      <c r="B318" s="86"/>
      <c r="C318" s="86"/>
      <c r="D318" s="86"/>
      <c r="E318" s="86"/>
      <c r="F318" s="86"/>
      <c r="G318" s="86"/>
      <c r="H318" s="86"/>
      <c r="I318" s="86"/>
      <c r="J318" s="86"/>
      <c r="K318" s="86"/>
      <c r="L318" s="86"/>
      <c r="M318" s="86"/>
      <c r="N318" s="86"/>
      <c r="O318" s="86"/>
      <c r="P318" s="86"/>
      <c r="Q318" s="86"/>
      <c r="R318" s="86"/>
      <c r="S318" s="86"/>
      <c r="T318" s="106"/>
      <c r="U318" s="86"/>
      <c r="V318" s="86"/>
      <c r="W318" s="86"/>
      <c r="X318" s="86"/>
      <c r="Y318" s="86"/>
      <c r="Z318" s="86"/>
      <c r="AA318" s="86"/>
      <c r="AB318" s="86"/>
      <c r="AC318" s="86"/>
      <c r="AD318" s="86"/>
      <c r="AE318" s="86"/>
      <c r="AF318" s="512"/>
      <c r="AG318" s="86"/>
      <c r="AH318" s="86"/>
      <c r="AI318" s="86"/>
      <c r="AJ318" s="86"/>
      <c r="AK318" s="86"/>
      <c r="AL318" s="86"/>
      <c r="AM318" s="86"/>
      <c r="AN318" s="86"/>
      <c r="AO318" s="86"/>
      <c r="AP318" s="86"/>
      <c r="AQ318" s="86"/>
      <c r="AR318" s="86"/>
      <c r="AS318" s="86"/>
      <c r="AT318" s="86"/>
      <c r="AU318" s="86"/>
      <c r="AV318" s="86"/>
    </row>
    <row r="319" spans="1:48">
      <c r="A319" s="86"/>
      <c r="B319" s="86"/>
      <c r="C319" s="86"/>
      <c r="D319" s="86"/>
      <c r="E319" s="86"/>
      <c r="F319" s="86"/>
      <c r="G319" s="86"/>
      <c r="H319" s="86"/>
      <c r="I319" s="86"/>
      <c r="J319" s="86"/>
      <c r="K319" s="86"/>
      <c r="L319" s="86"/>
      <c r="M319" s="86"/>
      <c r="N319" s="86"/>
      <c r="O319" s="86"/>
      <c r="P319" s="86"/>
      <c r="Q319" s="86"/>
      <c r="R319" s="86"/>
      <c r="S319" s="86"/>
      <c r="T319" s="106"/>
      <c r="U319" s="86"/>
      <c r="V319" s="86"/>
      <c r="W319" s="86"/>
      <c r="X319" s="86"/>
      <c r="Y319" s="86"/>
      <c r="Z319" s="86"/>
      <c r="AA319" s="86"/>
      <c r="AB319" s="86"/>
      <c r="AC319" s="86"/>
      <c r="AD319" s="86"/>
      <c r="AE319" s="86"/>
      <c r="AF319" s="512"/>
      <c r="AG319" s="86"/>
      <c r="AH319" s="86"/>
      <c r="AI319" s="86"/>
      <c r="AJ319" s="86"/>
      <c r="AK319" s="86"/>
      <c r="AL319" s="86"/>
      <c r="AM319" s="86"/>
      <c r="AN319" s="86"/>
      <c r="AO319" s="86"/>
      <c r="AP319" s="86"/>
      <c r="AQ319" s="86"/>
      <c r="AR319" s="86"/>
      <c r="AS319" s="86"/>
      <c r="AT319" s="86"/>
      <c r="AU319" s="86"/>
      <c r="AV319" s="86"/>
    </row>
    <row r="320" spans="1:48">
      <c r="A320" s="86"/>
      <c r="B320" s="86"/>
      <c r="C320" s="86"/>
      <c r="D320" s="86"/>
      <c r="E320" s="86"/>
      <c r="F320" s="86"/>
      <c r="G320" s="86"/>
      <c r="H320" s="86"/>
      <c r="I320" s="86"/>
      <c r="J320" s="86"/>
      <c r="K320" s="86"/>
      <c r="L320" s="86"/>
      <c r="M320" s="86"/>
      <c r="N320" s="86"/>
      <c r="O320" s="86"/>
      <c r="P320" s="86"/>
      <c r="Q320" s="86"/>
      <c r="R320" s="86"/>
      <c r="S320" s="86"/>
      <c r="T320" s="106"/>
      <c r="U320" s="86"/>
      <c r="V320" s="86"/>
      <c r="W320" s="86"/>
      <c r="X320" s="86"/>
      <c r="Y320" s="86"/>
      <c r="Z320" s="86"/>
      <c r="AA320" s="86"/>
      <c r="AB320" s="86"/>
      <c r="AC320" s="86"/>
      <c r="AD320" s="86"/>
      <c r="AE320" s="86"/>
      <c r="AF320" s="512"/>
      <c r="AG320" s="86"/>
      <c r="AH320" s="86"/>
      <c r="AI320" s="86"/>
      <c r="AJ320" s="86"/>
      <c r="AK320" s="86"/>
      <c r="AL320" s="86"/>
      <c r="AM320" s="86"/>
      <c r="AN320" s="86"/>
      <c r="AO320" s="86"/>
      <c r="AP320" s="86"/>
      <c r="AQ320" s="86"/>
      <c r="AR320" s="86"/>
      <c r="AS320" s="86"/>
      <c r="AT320" s="86"/>
      <c r="AU320" s="86"/>
      <c r="AV320" s="86"/>
    </row>
    <row r="321" spans="1:48">
      <c r="A321" s="86"/>
      <c r="B321" s="86"/>
      <c r="C321" s="86"/>
      <c r="D321" s="86"/>
      <c r="E321" s="86"/>
      <c r="F321" s="86"/>
      <c r="G321" s="86"/>
      <c r="H321" s="86"/>
      <c r="I321" s="86"/>
      <c r="J321" s="86"/>
      <c r="K321" s="86"/>
      <c r="L321" s="86"/>
      <c r="M321" s="86"/>
      <c r="N321" s="86"/>
      <c r="O321" s="86"/>
      <c r="P321" s="86"/>
      <c r="Q321" s="86"/>
      <c r="R321" s="86"/>
      <c r="S321" s="86"/>
      <c r="T321" s="106"/>
      <c r="U321" s="86"/>
      <c r="V321" s="86"/>
      <c r="W321" s="86"/>
      <c r="X321" s="86"/>
      <c r="Y321" s="86"/>
      <c r="Z321" s="86"/>
      <c r="AA321" s="86"/>
      <c r="AB321" s="86"/>
      <c r="AC321" s="86"/>
      <c r="AD321" s="86"/>
      <c r="AE321" s="86"/>
      <c r="AF321" s="512"/>
      <c r="AG321" s="86"/>
      <c r="AH321" s="86"/>
      <c r="AI321" s="86"/>
      <c r="AJ321" s="86"/>
      <c r="AK321" s="86"/>
      <c r="AL321" s="86"/>
      <c r="AM321" s="86"/>
      <c r="AN321" s="86"/>
      <c r="AO321" s="86"/>
      <c r="AP321" s="86"/>
      <c r="AQ321" s="86"/>
      <c r="AR321" s="86"/>
      <c r="AS321" s="86"/>
      <c r="AT321" s="86"/>
      <c r="AU321" s="86"/>
      <c r="AV321" s="86"/>
    </row>
    <row r="322" spans="1:48">
      <c r="A322" s="86"/>
      <c r="B322" s="86"/>
      <c r="C322" s="86"/>
      <c r="D322" s="86"/>
      <c r="E322" s="86"/>
      <c r="F322" s="86"/>
      <c r="G322" s="86"/>
      <c r="H322" s="86"/>
      <c r="I322" s="86"/>
      <c r="J322" s="86"/>
      <c r="K322" s="86"/>
      <c r="L322" s="86"/>
      <c r="M322" s="86"/>
      <c r="N322" s="86"/>
      <c r="O322" s="86"/>
      <c r="P322" s="86"/>
      <c r="Q322" s="86"/>
      <c r="R322" s="86"/>
      <c r="S322" s="86"/>
      <c r="T322" s="106"/>
      <c r="U322" s="86"/>
      <c r="V322" s="86"/>
      <c r="W322" s="86"/>
      <c r="X322" s="86"/>
      <c r="Y322" s="86"/>
      <c r="Z322" s="86"/>
      <c r="AA322" s="86"/>
      <c r="AB322" s="86"/>
      <c r="AC322" s="86"/>
      <c r="AD322" s="86"/>
      <c r="AE322" s="86"/>
      <c r="AF322" s="512"/>
      <c r="AG322" s="86"/>
      <c r="AH322" s="86"/>
      <c r="AI322" s="86"/>
      <c r="AJ322" s="86"/>
      <c r="AK322" s="86"/>
      <c r="AL322" s="86"/>
      <c r="AM322" s="86"/>
      <c r="AN322" s="86"/>
      <c r="AO322" s="86"/>
      <c r="AP322" s="86"/>
      <c r="AQ322" s="86"/>
      <c r="AR322" s="86"/>
      <c r="AS322" s="86"/>
      <c r="AT322" s="86"/>
      <c r="AU322" s="86"/>
      <c r="AV322" s="86"/>
    </row>
    <row r="323" spans="1:48">
      <c r="A323" s="86"/>
      <c r="B323" s="86"/>
      <c r="C323" s="86"/>
      <c r="D323" s="86"/>
      <c r="E323" s="86"/>
      <c r="F323" s="86"/>
      <c r="G323" s="86"/>
      <c r="H323" s="86"/>
      <c r="I323" s="86"/>
      <c r="J323" s="86"/>
      <c r="K323" s="86"/>
      <c r="L323" s="86"/>
      <c r="M323" s="86"/>
      <c r="N323" s="86"/>
      <c r="O323" s="86"/>
      <c r="P323" s="86"/>
      <c r="Q323" s="86"/>
      <c r="R323" s="86"/>
      <c r="S323" s="86"/>
      <c r="T323" s="106"/>
      <c r="U323" s="86"/>
      <c r="V323" s="86"/>
      <c r="W323" s="86"/>
      <c r="X323" s="86"/>
      <c r="Y323" s="86"/>
      <c r="Z323" s="86"/>
      <c r="AA323" s="86"/>
      <c r="AB323" s="86"/>
      <c r="AC323" s="86"/>
      <c r="AD323" s="86"/>
      <c r="AE323" s="86"/>
      <c r="AF323" s="512"/>
      <c r="AG323" s="86"/>
      <c r="AH323" s="86"/>
      <c r="AI323" s="86"/>
      <c r="AJ323" s="86"/>
      <c r="AK323" s="86"/>
      <c r="AL323" s="86"/>
      <c r="AM323" s="86"/>
      <c r="AN323" s="86"/>
      <c r="AO323" s="86"/>
      <c r="AP323" s="86"/>
      <c r="AQ323" s="86"/>
      <c r="AR323" s="86"/>
      <c r="AS323" s="86"/>
      <c r="AT323" s="86"/>
      <c r="AU323" s="86"/>
      <c r="AV323" s="86"/>
    </row>
    <row r="324" spans="1:48">
      <c r="A324" s="86"/>
      <c r="B324" s="86"/>
      <c r="C324" s="86"/>
      <c r="D324" s="86"/>
      <c r="E324" s="86"/>
      <c r="F324" s="86"/>
      <c r="G324" s="86"/>
      <c r="H324" s="86"/>
      <c r="I324" s="86"/>
      <c r="J324" s="86"/>
      <c r="K324" s="86"/>
      <c r="L324" s="86"/>
      <c r="M324" s="86"/>
      <c r="N324" s="86"/>
      <c r="O324" s="86"/>
      <c r="P324" s="86"/>
      <c r="Q324" s="86"/>
      <c r="R324" s="86"/>
      <c r="S324" s="86"/>
      <c r="T324" s="106"/>
      <c r="U324" s="86"/>
      <c r="V324" s="86"/>
      <c r="W324" s="86"/>
      <c r="X324" s="86"/>
      <c r="Y324" s="86"/>
      <c r="Z324" s="86"/>
      <c r="AA324" s="86"/>
      <c r="AB324" s="86"/>
      <c r="AC324" s="86"/>
      <c r="AD324" s="86"/>
      <c r="AE324" s="86"/>
      <c r="AF324" s="512"/>
      <c r="AG324" s="86"/>
      <c r="AH324" s="86"/>
      <c r="AI324" s="86"/>
      <c r="AJ324" s="86"/>
      <c r="AK324" s="86"/>
      <c r="AL324" s="86"/>
      <c r="AM324" s="86"/>
      <c r="AN324" s="86"/>
      <c r="AO324" s="86"/>
      <c r="AP324" s="86"/>
      <c r="AQ324" s="86"/>
      <c r="AR324" s="86"/>
      <c r="AS324" s="86"/>
      <c r="AT324" s="86"/>
      <c r="AU324" s="86"/>
      <c r="AV324" s="86"/>
    </row>
  </sheetData>
  <mergeCells count="10">
    <mergeCell ref="AL1:AO1"/>
    <mergeCell ref="AH1:AK1"/>
    <mergeCell ref="AD1:AG1"/>
    <mergeCell ref="Z1:AC1"/>
    <mergeCell ref="C1:E1"/>
    <mergeCell ref="F1:I1"/>
    <mergeCell ref="J1:M1"/>
    <mergeCell ref="N1:Q1"/>
    <mergeCell ref="R1:U1"/>
    <mergeCell ref="V1:Y1"/>
  </mergeCells>
  <pageMargins left="0.7" right="0.7" top="0.75" bottom="0.75" header="0.3" footer="0.3"/>
  <pageSetup paperSize="9" orientation="portrait" horizontalDpi="4294967295" verticalDpi="4294967295" r:id="rId1"/>
  <customProperties>
    <customPr name="_pios_i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theme="0" tint="-0.34998626667073579"/>
  </sheetPr>
  <dimension ref="A1:GM80"/>
  <sheetViews>
    <sheetView showGridLines="0" zoomScale="85" zoomScaleNormal="85" workbookViewId="0">
      <pane xSplit="1" topLeftCell="AX1" activePane="topRight" state="frozen"/>
      <selection pane="topRight" activeCell="BB50" sqref="BB50"/>
    </sheetView>
  </sheetViews>
  <sheetFormatPr defaultRowHeight="14.4" outlineLevelRow="1" outlineLevelCol="1"/>
  <cols>
    <col min="1" max="1" width="72.5546875" bestFit="1" customWidth="1"/>
    <col min="2" max="2" width="55.44140625" bestFit="1" customWidth="1"/>
    <col min="3" max="6" width="18.44140625" hidden="1" customWidth="1" outlineLevel="1"/>
    <col min="7" max="7" width="5.44140625" customWidth="1" collapsed="1"/>
    <col min="8" max="8" width="11.88671875" customWidth="1"/>
    <col min="9" max="9" width="5.44140625" customWidth="1"/>
    <col min="10" max="13" width="18.44140625" hidden="1" customWidth="1" outlineLevel="1"/>
    <col min="14" max="14" width="5.44140625" hidden="1" customWidth="1" outlineLevel="1"/>
    <col min="15" max="15" width="11.5546875" customWidth="1" collapsed="1"/>
    <col min="16" max="16" width="5.44140625" customWidth="1"/>
    <col min="17" max="20" width="18.44140625" hidden="1" customWidth="1" outlineLevel="1"/>
    <col min="21" max="21" width="5.44140625" hidden="1" customWidth="1" outlineLevel="1"/>
    <col min="22" max="22" width="9.88671875" bestFit="1" customWidth="1" collapsed="1"/>
    <col min="24" max="25" width="9.33203125" hidden="1" customWidth="1" outlineLevel="1"/>
    <col min="26" max="27" width="8.88671875" hidden="1" customWidth="1" outlineLevel="1"/>
    <col min="28" max="28" width="9.109375" style="122" hidden="1" customWidth="1" outlineLevel="1"/>
    <col min="29" max="29" width="11.6640625" customWidth="1" collapsed="1"/>
    <col min="30" max="30" width="9" customWidth="1"/>
    <col min="31" max="31" width="8.88671875" hidden="1" customWidth="1" outlineLevel="1"/>
    <col min="32" max="34" width="9.109375" hidden="1" customWidth="1" outlineLevel="1"/>
    <col min="35" max="35" width="11.6640625" hidden="1" customWidth="1" outlineLevel="1"/>
    <col min="36" max="36" width="13.33203125" customWidth="1" collapsed="1"/>
    <col min="38" max="38" width="11.33203125" customWidth="1" outlineLevel="1"/>
    <col min="39" max="40" width="9.109375" customWidth="1" outlineLevel="1"/>
    <col min="41" max="41" width="10.6640625" customWidth="1" outlineLevel="1"/>
    <col min="42" max="42" width="9.5546875" customWidth="1" outlineLevel="1"/>
    <col min="43" max="43" width="13.44140625" customWidth="1"/>
    <col min="45" max="47" width="8.88671875" outlineLevel="1"/>
    <col min="48" max="48" width="10.6640625" customWidth="1" outlineLevel="1"/>
    <col min="49" max="49" width="8.88671875" outlineLevel="1"/>
    <col min="50" max="50" width="12.33203125" bestFit="1" customWidth="1"/>
    <col min="52" max="52" width="9.109375" outlineLevel="1"/>
  </cols>
  <sheetData>
    <row r="1" spans="1:195" ht="32.4" customHeight="1" thickBot="1">
      <c r="A1" s="87" t="s">
        <v>72</v>
      </c>
      <c r="B1" s="292" t="s">
        <v>276</v>
      </c>
      <c r="C1" s="210" t="s">
        <v>73</v>
      </c>
      <c r="D1" s="36" t="s">
        <v>74</v>
      </c>
      <c r="E1" s="37" t="s">
        <v>75</v>
      </c>
      <c r="F1" s="38" t="s">
        <v>76</v>
      </c>
      <c r="H1" s="213">
        <v>2018</v>
      </c>
      <c r="J1" s="35" t="s">
        <v>77</v>
      </c>
      <c r="K1" s="36" t="s">
        <v>78</v>
      </c>
      <c r="L1" s="37" t="s">
        <v>79</v>
      </c>
      <c r="M1" s="38" t="s">
        <v>80</v>
      </c>
      <c r="O1" s="213">
        <v>2019</v>
      </c>
      <c r="P1" s="5"/>
      <c r="Q1" s="35" t="s">
        <v>81</v>
      </c>
      <c r="R1" s="36" t="s">
        <v>82</v>
      </c>
      <c r="S1" s="37" t="s">
        <v>83</v>
      </c>
      <c r="T1" s="38" t="s">
        <v>159</v>
      </c>
      <c r="V1" s="228" t="s">
        <v>233</v>
      </c>
      <c r="X1" s="329" t="s">
        <v>81</v>
      </c>
      <c r="Y1" s="330" t="s">
        <v>82</v>
      </c>
      <c r="Z1" s="330" t="s">
        <v>83</v>
      </c>
      <c r="AA1" s="330" t="s">
        <v>234</v>
      </c>
      <c r="AC1" s="228" t="s">
        <v>235</v>
      </c>
      <c r="AD1" s="5"/>
      <c r="AE1" s="35" t="s">
        <v>227</v>
      </c>
      <c r="AF1" s="35" t="s">
        <v>228</v>
      </c>
      <c r="AG1" s="35" t="s">
        <v>229</v>
      </c>
      <c r="AH1" s="35" t="s">
        <v>230</v>
      </c>
      <c r="AJ1" s="213" t="s">
        <v>231</v>
      </c>
      <c r="AL1" s="35" t="s">
        <v>283</v>
      </c>
      <c r="AM1" s="35" t="s">
        <v>284</v>
      </c>
      <c r="AN1" s="35" t="s">
        <v>285</v>
      </c>
      <c r="AO1" s="35" t="s">
        <v>286</v>
      </c>
      <c r="AQ1" s="213" t="s">
        <v>297</v>
      </c>
      <c r="AS1" s="35" t="s">
        <v>331</v>
      </c>
      <c r="AT1" s="35" t="s">
        <v>332</v>
      </c>
      <c r="AU1" s="35" t="s">
        <v>333</v>
      </c>
      <c r="AV1" s="35" t="s">
        <v>334</v>
      </c>
      <c r="AX1" s="213" t="s">
        <v>335</v>
      </c>
      <c r="AZ1" s="35" t="s">
        <v>342</v>
      </c>
      <c r="BA1" s="35" t="s">
        <v>343</v>
      </c>
      <c r="BB1" s="35" t="s">
        <v>344</v>
      </c>
      <c r="BC1" s="35" t="s">
        <v>345</v>
      </c>
      <c r="BE1" s="213" t="s">
        <v>346</v>
      </c>
    </row>
    <row r="2" spans="1:195" s="60" customFormat="1" ht="20.100000000000001" customHeight="1" thickTop="1" thickBot="1">
      <c r="A2" s="361" t="s">
        <v>100</v>
      </c>
      <c r="B2" s="362" t="s">
        <v>101</v>
      </c>
      <c r="C2" s="363">
        <v>-137.80000000000001</v>
      </c>
      <c r="D2" s="364">
        <v>212.9</v>
      </c>
      <c r="E2" s="365">
        <v>-29.699999999999996</v>
      </c>
      <c r="F2" s="366">
        <v>46.1</v>
      </c>
      <c r="G2"/>
      <c r="H2" s="214">
        <v>91.5</v>
      </c>
      <c r="I2"/>
      <c r="J2" s="363">
        <v>-186.9</v>
      </c>
      <c r="K2" s="364">
        <v>65.100000000000009</v>
      </c>
      <c r="L2" s="365">
        <v>-24.4</v>
      </c>
      <c r="M2" s="366">
        <f>O2-SUM(J2:L2)</f>
        <v>128.29999999999998</v>
      </c>
      <c r="N2"/>
      <c r="O2" s="221">
        <v>-17.899999999999999</v>
      </c>
      <c r="P2" s="5"/>
      <c r="Q2" s="363">
        <v>-386</v>
      </c>
      <c r="R2" s="364">
        <v>-587.20000000000005</v>
      </c>
      <c r="S2" s="365">
        <v>-63</v>
      </c>
      <c r="T2" s="366" t="s">
        <v>92</v>
      </c>
      <c r="U2"/>
      <c r="V2" s="322">
        <v>1260.0999999999999</v>
      </c>
      <c r="W2"/>
      <c r="X2" s="363">
        <v>-440.9</v>
      </c>
      <c r="Y2" s="364">
        <f>-886.5-X2</f>
        <v>-445.6</v>
      </c>
      <c r="Z2" s="365">
        <f>-917.7-Y2-X2</f>
        <v>-31.200000000000045</v>
      </c>
      <c r="AA2" s="366">
        <f>AC2-Z2-Y2-X2</f>
        <v>-250.70000000000005</v>
      </c>
      <c r="AB2" s="122"/>
      <c r="AC2" s="322">
        <v>-1168.4000000000001</v>
      </c>
      <c r="AD2" s="5"/>
      <c r="AE2" s="363">
        <v>-171.5</v>
      </c>
      <c r="AF2" s="364">
        <f>-63.6-AE2</f>
        <v>107.9</v>
      </c>
      <c r="AG2" s="365">
        <f>-25.4-AF2-AE2</f>
        <v>38.199999999999989</v>
      </c>
      <c r="AH2" s="529">
        <f>AJ2-AG2-AF2-AE2</f>
        <v>-99.799999999999955</v>
      </c>
      <c r="AI2" s="5"/>
      <c r="AJ2" s="530">
        <v>-125.2</v>
      </c>
      <c r="AK2"/>
      <c r="AL2" s="402">
        <v>-195.8</v>
      </c>
      <c r="AM2" s="364">
        <v>-54.199999999999989</v>
      </c>
      <c r="AN2" s="365">
        <v>-64.999999999999773</v>
      </c>
      <c r="AO2" s="322">
        <f>AQ2-SUM(AL2:AN2)</f>
        <v>-122.10000000000025</v>
      </c>
      <c r="AP2"/>
      <c r="AQ2" s="540">
        <v>-437.1</v>
      </c>
      <c r="AR2"/>
      <c r="AS2" s="363">
        <v>-154.10000000000002</v>
      </c>
      <c r="AT2" s="364">
        <v>26</v>
      </c>
      <c r="AU2" s="365">
        <v>-28.800000000000068</v>
      </c>
      <c r="AV2" s="322">
        <f>AX2-SUM(AS2:AU2)</f>
        <v>18.699999999999591</v>
      </c>
      <c r="AW2"/>
      <c r="AX2" s="322">
        <v>-138.2000000000005</v>
      </c>
      <c r="AY2"/>
      <c r="AZ2" s="363">
        <v>46.800000000000203</v>
      </c>
      <c r="BA2" s="364">
        <v>124.8</v>
      </c>
      <c r="BB2" s="365">
        <v>201.89999999999955</v>
      </c>
      <c r="BC2" s="322"/>
      <c r="BD2"/>
      <c r="BE2" s="32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</row>
    <row r="3" spans="1:195" ht="15" customHeight="1">
      <c r="A3" s="304" t="s">
        <v>160</v>
      </c>
      <c r="B3" s="305" t="s">
        <v>161</v>
      </c>
      <c r="C3" s="308">
        <v>136.19999999999999</v>
      </c>
      <c r="D3" s="309">
        <v>143.19999999999999</v>
      </c>
      <c r="E3" s="307">
        <v>155</v>
      </c>
      <c r="F3" s="303">
        <v>168</v>
      </c>
      <c r="H3" s="306">
        <v>602.4</v>
      </c>
      <c r="J3" s="308">
        <v>167.2</v>
      </c>
      <c r="K3" s="309">
        <v>182.5</v>
      </c>
      <c r="L3" s="307">
        <v>176.8</v>
      </c>
      <c r="M3" s="303">
        <f t="shared" ref="M3:M46" si="0">O3-SUM(J3:L3)</f>
        <v>189.79999999999995</v>
      </c>
      <c r="O3" s="310">
        <v>716.3</v>
      </c>
      <c r="P3" s="5"/>
      <c r="Q3" s="308">
        <v>184.4</v>
      </c>
      <c r="R3" s="309">
        <v>183.20000000000002</v>
      </c>
      <c r="S3" s="307">
        <v>164.79999999999995</v>
      </c>
      <c r="T3" s="303" t="s">
        <v>92</v>
      </c>
      <c r="V3" s="323">
        <v>683.6</v>
      </c>
      <c r="X3" s="308">
        <v>166.3</v>
      </c>
      <c r="Y3" s="309">
        <f>342-X3</f>
        <v>175.7</v>
      </c>
      <c r="Z3" s="307">
        <f>483.2-Y3-X3</f>
        <v>141.19999999999999</v>
      </c>
      <c r="AA3" s="303">
        <f>AC3-Z3-Y3-X3</f>
        <v>127.90000000000003</v>
      </c>
      <c r="AC3" s="323">
        <v>611.1</v>
      </c>
      <c r="AD3" s="5"/>
      <c r="AE3" s="308">
        <v>136.5</v>
      </c>
      <c r="AF3" s="309">
        <f>287.8-AE3</f>
        <v>151.30000000000001</v>
      </c>
      <c r="AG3" s="307">
        <f>430.4-AF3-AE3</f>
        <v>142.59999999999997</v>
      </c>
      <c r="AH3" s="111">
        <f>AJ3-AG3-AF3-AE3</f>
        <v>146.89999999999998</v>
      </c>
      <c r="AI3" s="5"/>
      <c r="AJ3" s="531">
        <v>577.29999999999995</v>
      </c>
      <c r="AL3" s="403">
        <v>148</v>
      </c>
      <c r="AM3" s="309">
        <v>147.80000000000001</v>
      </c>
      <c r="AN3" s="307">
        <v>147</v>
      </c>
      <c r="AO3" s="323">
        <f t="shared" ref="AO3:AO47" si="1">AQ3-SUM(AL3:AN3)</f>
        <v>141.69999999999999</v>
      </c>
      <c r="AQ3" s="541">
        <v>584.5</v>
      </c>
      <c r="AS3" s="308">
        <v>155.5</v>
      </c>
      <c r="AT3" s="309">
        <v>144.5</v>
      </c>
      <c r="AU3" s="307">
        <v>153.30000000000001</v>
      </c>
      <c r="AV3" s="323">
        <f t="shared" ref="AV3:AV47" si="2">AX3-SUM(AS3:AU3)</f>
        <v>141.19999999999999</v>
      </c>
      <c r="AX3" s="323">
        <v>594.5</v>
      </c>
      <c r="AZ3" s="308">
        <v>149.9</v>
      </c>
      <c r="BA3" s="309">
        <v>144.4</v>
      </c>
      <c r="BB3" s="307">
        <v>151</v>
      </c>
      <c r="BC3" s="323"/>
      <c r="BE3" s="323"/>
    </row>
    <row r="4" spans="1:195" ht="15" customHeight="1">
      <c r="A4" s="311" t="s">
        <v>278</v>
      </c>
      <c r="B4" s="367" t="s">
        <v>280</v>
      </c>
      <c r="C4" s="308"/>
      <c r="D4" s="309"/>
      <c r="E4" s="309"/>
      <c r="F4" s="303"/>
      <c r="H4" s="306"/>
      <c r="J4" s="308"/>
      <c r="K4" s="309">
        <f>SUM(K5:K9)</f>
        <v>90.1</v>
      </c>
      <c r="L4" s="309">
        <f>SUM(L5:L9)</f>
        <v>64.900000000000006</v>
      </c>
      <c r="M4" s="303">
        <f>SUM(M5:M9)</f>
        <v>4.1999999999999922</v>
      </c>
      <c r="O4" s="310"/>
      <c r="P4" s="5"/>
      <c r="Q4" s="308">
        <f>SUM(Q5:Q9)</f>
        <v>88.3</v>
      </c>
      <c r="R4" s="309">
        <f>SUM(R5:R9)</f>
        <v>340.7</v>
      </c>
      <c r="S4" s="309">
        <f>SUM(S5:S9)</f>
        <v>146.60000000000002</v>
      </c>
      <c r="T4" s="303" t="s">
        <v>92</v>
      </c>
      <c r="V4" s="323">
        <f>SUM(V5:V9)</f>
        <v>745.09999999999991</v>
      </c>
      <c r="X4" s="308">
        <f>SUM(X5:X9)</f>
        <v>49.5</v>
      </c>
      <c r="Y4" s="309">
        <f>SUM(Y5:Y9)</f>
        <v>530.4</v>
      </c>
      <c r="Z4" s="309">
        <f>SUM(Z5:Z9)</f>
        <v>68.100000000000037</v>
      </c>
      <c r="AA4" s="303">
        <f t="shared" ref="AA4:AA11" si="3">AC4-Z4-Y4-X4</f>
        <v>168.69999999999993</v>
      </c>
      <c r="AC4" s="323">
        <v>816.69999999999993</v>
      </c>
      <c r="AD4" s="5"/>
      <c r="AE4" s="308">
        <f>SUM(AE5:AE9)</f>
        <v>66.5</v>
      </c>
      <c r="AF4" s="309">
        <f>SUM(AF5:AF9)</f>
        <v>-50.1</v>
      </c>
      <c r="AG4" s="309">
        <f>SUM(AG5:AG9)</f>
        <v>-9.8000000000000114</v>
      </c>
      <c r="AH4" s="111">
        <f>AJ4-AG4-AF4-AE4</f>
        <v>26.400000000000006</v>
      </c>
      <c r="AI4" s="5"/>
      <c r="AJ4" s="531">
        <v>33</v>
      </c>
      <c r="AL4" s="403">
        <v>159.69999999999999</v>
      </c>
      <c r="AM4" s="309">
        <v>23.600000000000009</v>
      </c>
      <c r="AN4" s="309">
        <v>88.999999999999986</v>
      </c>
      <c r="AO4" s="323">
        <f t="shared" si="1"/>
        <v>128.30000000000001</v>
      </c>
      <c r="AQ4" s="541">
        <v>400.6</v>
      </c>
      <c r="AS4" s="308">
        <v>68.8</v>
      </c>
      <c r="AT4" s="309">
        <v>25.5</v>
      </c>
      <c r="AU4" s="309">
        <v>114.8</v>
      </c>
      <c r="AV4" s="323">
        <f t="shared" si="2"/>
        <v>67.299999999999983</v>
      </c>
      <c r="AX4" s="323">
        <v>276.39999999999998</v>
      </c>
      <c r="AZ4" s="308">
        <v>133.6</v>
      </c>
      <c r="BA4" s="309">
        <v>85.1</v>
      </c>
      <c r="BB4" s="309">
        <v>118.60000000000002</v>
      </c>
      <c r="BC4" s="323"/>
      <c r="BE4" s="323"/>
    </row>
    <row r="5" spans="1:195" ht="15" hidden="1" customHeight="1" outlineLevel="1">
      <c r="A5" s="312" t="s">
        <v>162</v>
      </c>
      <c r="B5" s="313" t="s">
        <v>163</v>
      </c>
      <c r="C5" s="308">
        <v>0</v>
      </c>
      <c r="D5" s="309">
        <v>0</v>
      </c>
      <c r="E5" s="307">
        <v>0</v>
      </c>
      <c r="F5" s="303">
        <v>63.7</v>
      </c>
      <c r="H5" s="306">
        <v>63.7</v>
      </c>
      <c r="J5" s="308">
        <v>0</v>
      </c>
      <c r="K5" s="309">
        <v>2.2000000000000002</v>
      </c>
      <c r="L5" s="307">
        <v>0</v>
      </c>
      <c r="M5" s="303">
        <f t="shared" si="0"/>
        <v>0</v>
      </c>
      <c r="O5" s="310">
        <v>2.2000000000000002</v>
      </c>
      <c r="P5" s="5"/>
      <c r="Q5" s="308">
        <v>-3.6</v>
      </c>
      <c r="R5" s="309">
        <v>273.90000000000003</v>
      </c>
      <c r="S5" s="307">
        <v>22.300000000000011</v>
      </c>
      <c r="T5" s="303" t="s">
        <v>92</v>
      </c>
      <c r="V5" s="323">
        <v>332</v>
      </c>
      <c r="X5" s="308">
        <v>-3.7</v>
      </c>
      <c r="Y5" s="309">
        <f>271-X5</f>
        <v>274.7</v>
      </c>
      <c r="Z5" s="307">
        <f>275-Y5-X5</f>
        <v>4.0000000000000115</v>
      </c>
      <c r="AA5" s="303">
        <f t="shared" si="3"/>
        <v>-275</v>
      </c>
      <c r="AC5" s="323"/>
      <c r="AD5" s="5"/>
      <c r="AE5" s="308">
        <v>36</v>
      </c>
      <c r="AF5" s="309">
        <f>1.9-AE5</f>
        <v>-34.1</v>
      </c>
      <c r="AG5" s="307">
        <f>1.9-AF5-AE5</f>
        <v>0</v>
      </c>
      <c r="AH5" s="111"/>
      <c r="AI5" s="5"/>
      <c r="AJ5" s="531"/>
      <c r="AL5" s="403"/>
      <c r="AM5" s="309"/>
      <c r="AN5" s="307"/>
      <c r="AO5" s="323">
        <f t="shared" si="1"/>
        <v>0</v>
      </c>
      <c r="AQ5" s="541"/>
      <c r="AS5" s="308"/>
      <c r="AT5" s="309"/>
      <c r="AU5" s="307"/>
      <c r="AV5" s="323">
        <f t="shared" si="2"/>
        <v>0</v>
      </c>
      <c r="AX5" s="323"/>
      <c r="AZ5" s="308"/>
      <c r="BA5" s="309"/>
      <c r="BB5" s="307"/>
      <c r="BC5" s="323"/>
      <c r="BE5" s="323"/>
    </row>
    <row r="6" spans="1:195" ht="15" hidden="1" customHeight="1" outlineLevel="1">
      <c r="A6" s="312" t="s">
        <v>164</v>
      </c>
      <c r="B6" s="313" t="s">
        <v>236</v>
      </c>
      <c r="C6" s="308">
        <v>-0.4</v>
      </c>
      <c r="D6" s="309">
        <v>-4</v>
      </c>
      <c r="E6" s="307">
        <v>0.30000000000000071</v>
      </c>
      <c r="F6" s="303">
        <v>-15.000000000000002</v>
      </c>
      <c r="H6" s="306">
        <v>-19.100000000000001</v>
      </c>
      <c r="J6" s="308">
        <v>-2</v>
      </c>
      <c r="K6" s="309">
        <v>3</v>
      </c>
      <c r="L6" s="307">
        <v>1.6999999999999997</v>
      </c>
      <c r="M6" s="303">
        <f t="shared" si="0"/>
        <v>-6.1999999999999993</v>
      </c>
      <c r="O6" s="310">
        <v>-3.5</v>
      </c>
      <c r="P6" s="5"/>
      <c r="Q6" s="308">
        <v>-2.4</v>
      </c>
      <c r="R6" s="309">
        <v>4.4999999999999662</v>
      </c>
      <c r="S6" s="307">
        <v>-5.3999999999999773</v>
      </c>
      <c r="T6" s="303" t="s">
        <v>92</v>
      </c>
      <c r="V6" s="323">
        <v>13.9</v>
      </c>
      <c r="X6" s="308">
        <v>0.5</v>
      </c>
      <c r="Y6" s="309">
        <f>0.199999999999989-X6</f>
        <v>-0.30000000000001104</v>
      </c>
      <c r="Z6" s="307">
        <f>-1.39999999999998-Y6-X6</f>
        <v>-1.599999999999969</v>
      </c>
      <c r="AA6" s="303">
        <f t="shared" si="3"/>
        <v>1.3999999999999799</v>
      </c>
      <c r="AC6" s="323"/>
      <c r="AD6" s="5"/>
      <c r="AE6" s="308">
        <v>3.5</v>
      </c>
      <c r="AF6" s="309">
        <f>-20.6-AE6</f>
        <v>-24.1</v>
      </c>
      <c r="AG6" s="307">
        <f>-18.6-AF6-AE6</f>
        <v>2</v>
      </c>
      <c r="AH6" s="111"/>
      <c r="AI6" s="5"/>
      <c r="AJ6" s="531"/>
      <c r="AL6" s="403"/>
      <c r="AM6" s="309"/>
      <c r="AN6" s="307"/>
      <c r="AO6" s="323">
        <f t="shared" si="1"/>
        <v>0</v>
      </c>
      <c r="AQ6" s="541"/>
      <c r="AS6" s="308"/>
      <c r="AT6" s="309"/>
      <c r="AU6" s="307"/>
      <c r="AV6" s="323">
        <f t="shared" si="2"/>
        <v>0</v>
      </c>
      <c r="AX6" s="323"/>
      <c r="AZ6" s="308"/>
      <c r="BA6" s="309"/>
      <c r="BB6" s="307"/>
      <c r="BC6" s="323"/>
      <c r="BE6" s="323"/>
    </row>
    <row r="7" spans="1:195" ht="28.8" hidden="1" outlineLevel="1">
      <c r="A7" s="314" t="s">
        <v>165</v>
      </c>
      <c r="B7" s="313" t="s">
        <v>237</v>
      </c>
      <c r="C7" s="308"/>
      <c r="D7" s="309"/>
      <c r="E7" s="307"/>
      <c r="F7" s="303"/>
      <c r="H7" s="315" t="s">
        <v>28</v>
      </c>
      <c r="J7" s="308" t="s">
        <v>28</v>
      </c>
      <c r="K7" s="309">
        <v>3.9</v>
      </c>
      <c r="L7" s="307">
        <v>23</v>
      </c>
      <c r="M7" s="303">
        <f t="shared" si="0"/>
        <v>-9.8999999999999986</v>
      </c>
      <c r="O7" s="310">
        <v>17</v>
      </c>
      <c r="P7" s="5"/>
      <c r="Q7" s="308">
        <v>27.2</v>
      </c>
      <c r="R7" s="309">
        <v>1.8000000000000007</v>
      </c>
      <c r="S7" s="307">
        <v>0</v>
      </c>
      <c r="T7" s="303" t="s">
        <v>92</v>
      </c>
      <c r="V7" s="323">
        <v>30.7</v>
      </c>
      <c r="X7" s="308">
        <v>0.2</v>
      </c>
      <c r="Y7" s="309">
        <f>29.2-X7</f>
        <v>29</v>
      </c>
      <c r="Z7" s="307">
        <f>29.2-Y7-X7</f>
        <v>-7.2164496600635175E-16</v>
      </c>
      <c r="AA7" s="303">
        <f t="shared" si="3"/>
        <v>-29.2</v>
      </c>
      <c r="AC7" s="323"/>
      <c r="AD7" s="5"/>
      <c r="AE7" s="308">
        <v>-1.6</v>
      </c>
      <c r="AF7" s="309">
        <f>-0.1-AE7</f>
        <v>1.5</v>
      </c>
      <c r="AG7" s="307">
        <f>-0.2-AF7-AE7</f>
        <v>-9.9999999999999867E-2</v>
      </c>
      <c r="AH7" s="111"/>
      <c r="AI7" s="5"/>
      <c r="AJ7" s="531"/>
      <c r="AL7" s="403"/>
      <c r="AM7" s="309"/>
      <c r="AN7" s="307"/>
      <c r="AO7" s="323">
        <f t="shared" si="1"/>
        <v>0</v>
      </c>
      <c r="AQ7" s="541"/>
      <c r="AS7" s="308"/>
      <c r="AT7" s="309"/>
      <c r="AU7" s="307"/>
      <c r="AV7" s="323">
        <f t="shared" si="2"/>
        <v>0</v>
      </c>
      <c r="AX7" s="323"/>
      <c r="AZ7" s="308"/>
      <c r="BA7" s="309"/>
      <c r="BB7" s="307"/>
      <c r="BC7" s="323"/>
      <c r="BE7" s="323"/>
    </row>
    <row r="8" spans="1:195" ht="15" hidden="1" customHeight="1" outlineLevel="1">
      <c r="A8" s="312" t="s">
        <v>166</v>
      </c>
      <c r="B8" s="313" t="s">
        <v>238</v>
      </c>
      <c r="C8" s="308">
        <v>14.3</v>
      </c>
      <c r="D8" s="309">
        <v>16.399999999999999</v>
      </c>
      <c r="E8" s="307">
        <v>16.099999999999998</v>
      </c>
      <c r="F8" s="303">
        <v>13.700000000000003</v>
      </c>
      <c r="H8" s="306">
        <v>60.5</v>
      </c>
      <c r="J8" s="308">
        <v>15.4</v>
      </c>
      <c r="K8" s="309">
        <v>20.800000000000004</v>
      </c>
      <c r="L8" s="307">
        <v>20.199999999999996</v>
      </c>
      <c r="M8" s="303">
        <f t="shared" si="0"/>
        <v>21.199999999999996</v>
      </c>
      <c r="O8" s="310">
        <v>77.599999999999994</v>
      </c>
      <c r="P8" s="5"/>
      <c r="Q8" s="308">
        <v>22.3</v>
      </c>
      <c r="R8" s="309">
        <v>19.400000000000002</v>
      </c>
      <c r="S8" s="307">
        <v>20.100000000000001</v>
      </c>
      <c r="T8" s="303" t="s">
        <v>92</v>
      </c>
      <c r="V8" s="323">
        <v>85.6</v>
      </c>
      <c r="X8" s="308">
        <v>24.7</v>
      </c>
      <c r="Y8" s="309">
        <f>42.6-X8</f>
        <v>17.900000000000002</v>
      </c>
      <c r="Z8" s="307">
        <f>64.5-Y8-X8</f>
        <v>21.899999999999995</v>
      </c>
      <c r="AA8" s="303">
        <f t="shared" si="3"/>
        <v>-64.5</v>
      </c>
      <c r="AC8" s="323"/>
      <c r="AD8" s="5"/>
      <c r="AE8" s="308">
        <v>23</v>
      </c>
      <c r="AF8" s="309">
        <f>45.4-AE8</f>
        <v>22.4</v>
      </c>
      <c r="AG8" s="307">
        <f>85.6-AF8-AE8</f>
        <v>40.199999999999996</v>
      </c>
      <c r="AH8" s="111"/>
      <c r="AI8" s="5"/>
      <c r="AJ8" s="531"/>
      <c r="AL8" s="403"/>
      <c r="AM8" s="309"/>
      <c r="AN8" s="307"/>
      <c r="AO8" s="323">
        <f t="shared" si="1"/>
        <v>0</v>
      </c>
      <c r="AQ8" s="541"/>
      <c r="AS8" s="308"/>
      <c r="AT8" s="309"/>
      <c r="AU8" s="307"/>
      <c r="AV8" s="323">
        <f t="shared" si="2"/>
        <v>0</v>
      </c>
      <c r="AX8" s="323"/>
      <c r="AZ8" s="308"/>
      <c r="BA8" s="309"/>
      <c r="BB8" s="307"/>
      <c r="BC8" s="323"/>
      <c r="BE8" s="323"/>
    </row>
    <row r="9" spans="1:195" ht="15" hidden="1" customHeight="1" outlineLevel="1">
      <c r="A9" s="312" t="s">
        <v>167</v>
      </c>
      <c r="B9" s="313" t="s">
        <v>239</v>
      </c>
      <c r="C9" s="308">
        <v>-79.900000000000006</v>
      </c>
      <c r="D9" s="309">
        <v>51.300000000000004</v>
      </c>
      <c r="E9" s="307">
        <v>-61.199999999999996</v>
      </c>
      <c r="F9" s="303">
        <v>66.699999999999989</v>
      </c>
      <c r="H9" s="306">
        <v>-23.1</v>
      </c>
      <c r="J9" s="308">
        <v>1.1000000000000001</v>
      </c>
      <c r="K9" s="309">
        <v>60.199999999999996</v>
      </c>
      <c r="L9" s="307">
        <v>20.000000000000014</v>
      </c>
      <c r="M9" s="303">
        <f t="shared" si="0"/>
        <v>-0.90000000000000568</v>
      </c>
      <c r="O9" s="310">
        <v>80.400000000000006</v>
      </c>
      <c r="P9" s="5"/>
      <c r="Q9" s="308">
        <v>44.8</v>
      </c>
      <c r="R9" s="309">
        <v>41.100000000000009</v>
      </c>
      <c r="S9" s="307">
        <v>109.6</v>
      </c>
      <c r="T9" s="303" t="s">
        <v>92</v>
      </c>
      <c r="V9" s="323">
        <v>282.89999999999998</v>
      </c>
      <c r="X9" s="308">
        <v>27.8</v>
      </c>
      <c r="Y9" s="309">
        <f>236.9-X9</f>
        <v>209.1</v>
      </c>
      <c r="Z9" s="307">
        <f>280.7-Y9-X9</f>
        <v>43.8</v>
      </c>
      <c r="AA9" s="303">
        <f t="shared" si="3"/>
        <v>-280.7</v>
      </c>
      <c r="AC9" s="323"/>
      <c r="AD9" s="5"/>
      <c r="AE9" s="308">
        <v>5.6</v>
      </c>
      <c r="AF9" s="309">
        <f>-10.2-AE9</f>
        <v>-15.799999999999999</v>
      </c>
      <c r="AG9" s="307">
        <f>-62.1-AF9-AE9</f>
        <v>-51.900000000000006</v>
      </c>
      <c r="AH9" s="111"/>
      <c r="AI9" s="5"/>
      <c r="AJ9" s="531"/>
      <c r="AL9" s="403"/>
      <c r="AM9" s="309"/>
      <c r="AN9" s="307"/>
      <c r="AO9" s="323">
        <f t="shared" si="1"/>
        <v>0</v>
      </c>
      <c r="AQ9" s="541"/>
      <c r="AS9" s="308"/>
      <c r="AT9" s="309"/>
      <c r="AU9" s="307"/>
      <c r="AV9" s="323">
        <f t="shared" si="2"/>
        <v>0</v>
      </c>
      <c r="AX9" s="323"/>
      <c r="AZ9" s="308"/>
      <c r="BA9" s="309"/>
      <c r="BB9" s="307"/>
      <c r="BC9" s="323"/>
      <c r="BE9" s="323"/>
    </row>
    <row r="10" spans="1:195" ht="15" customHeight="1" collapsed="1">
      <c r="A10" s="312" t="s">
        <v>168</v>
      </c>
      <c r="B10" s="313" t="s">
        <v>240</v>
      </c>
      <c r="C10" s="308">
        <v>-36.5</v>
      </c>
      <c r="D10" s="309">
        <v>22.5</v>
      </c>
      <c r="E10" s="307">
        <v>-27.4</v>
      </c>
      <c r="F10" s="303">
        <v>17.7</v>
      </c>
      <c r="H10" s="306">
        <v>-23.7</v>
      </c>
      <c r="J10" s="308">
        <v>-4.7</v>
      </c>
      <c r="K10" s="309">
        <v>-23.7</v>
      </c>
      <c r="L10" s="307">
        <v>-6.8999999999999986</v>
      </c>
      <c r="M10" s="303">
        <f t="shared" si="0"/>
        <v>-12</v>
      </c>
      <c r="O10" s="310">
        <v>-47.3</v>
      </c>
      <c r="P10" s="5"/>
      <c r="Q10" s="308">
        <v>20.6</v>
      </c>
      <c r="R10" s="309">
        <v>-30.6</v>
      </c>
      <c r="S10" s="307">
        <v>-22.9</v>
      </c>
      <c r="T10" s="303" t="s">
        <v>92</v>
      </c>
      <c r="V10" s="323">
        <v>-56</v>
      </c>
      <c r="X10" s="308">
        <v>-0.9</v>
      </c>
      <c r="Y10" s="309">
        <f>-7.5-X10</f>
        <v>-6.6</v>
      </c>
      <c r="Z10" s="307">
        <f>-32.2-Y10-X10</f>
        <v>-24.700000000000003</v>
      </c>
      <c r="AA10" s="303">
        <f t="shared" si="3"/>
        <v>-18.199999999999996</v>
      </c>
      <c r="AC10" s="323">
        <v>-50.4</v>
      </c>
      <c r="AD10" s="5"/>
      <c r="AE10" s="308">
        <v>-5.5</v>
      </c>
      <c r="AF10" s="309">
        <f>-69.8-AE10</f>
        <v>-64.3</v>
      </c>
      <c r="AG10" s="307">
        <f>-85.3-AF10-AE10</f>
        <v>-15.5</v>
      </c>
      <c r="AH10" s="111">
        <f>AJ10-AG10-AF10-AE10</f>
        <v>-10.400000000000006</v>
      </c>
      <c r="AI10" s="5"/>
      <c r="AJ10" s="531">
        <v>-95.7</v>
      </c>
      <c r="AL10" s="403">
        <v>-20.7</v>
      </c>
      <c r="AM10" s="309">
        <v>-39.200000000000003</v>
      </c>
      <c r="AN10" s="307">
        <v>-10.399999999999999</v>
      </c>
      <c r="AO10" s="323">
        <f t="shared" si="1"/>
        <v>151.80000000000001</v>
      </c>
      <c r="AQ10" s="541">
        <v>81.5</v>
      </c>
      <c r="AS10" s="308">
        <v>-17.100000000000001</v>
      </c>
      <c r="AT10" s="309">
        <v>-23.2</v>
      </c>
      <c r="AU10" s="307">
        <v>20.399999999999999</v>
      </c>
      <c r="AV10" s="323">
        <f t="shared" si="2"/>
        <v>-2.2000000000000028</v>
      </c>
      <c r="AX10" s="323">
        <v>-22.1</v>
      </c>
      <c r="AZ10" s="308">
        <v>-10.5</v>
      </c>
      <c r="BA10" s="309">
        <v>15.9</v>
      </c>
      <c r="BB10" s="307">
        <v>-17</v>
      </c>
      <c r="BC10" s="323"/>
      <c r="BE10" s="323"/>
    </row>
    <row r="11" spans="1:195" s="60" customFormat="1" ht="20.100000000000001" customHeight="1" thickBot="1">
      <c r="A11" s="352" t="s">
        <v>311</v>
      </c>
      <c r="B11" s="353" t="s">
        <v>169</v>
      </c>
      <c r="C11" s="354">
        <v>-104.1</v>
      </c>
      <c r="D11" s="355">
        <v>442.29999999999995</v>
      </c>
      <c r="E11" s="356">
        <v>53.100000000000023</v>
      </c>
      <c r="F11" s="357">
        <v>360.90000000000003</v>
      </c>
      <c r="G11"/>
      <c r="H11" s="216">
        <v>752.2</v>
      </c>
      <c r="I11"/>
      <c r="J11" s="354">
        <v>-9.9</v>
      </c>
      <c r="K11" s="355">
        <v>314</v>
      </c>
      <c r="L11" s="356">
        <v>210.39999999999998</v>
      </c>
      <c r="M11" s="357">
        <f t="shared" si="0"/>
        <v>310.30000000000007</v>
      </c>
      <c r="N11"/>
      <c r="O11" s="223">
        <f>SUM(O2:O10)</f>
        <v>824.80000000000007</v>
      </c>
      <c r="P11" s="5"/>
      <c r="Q11" s="354">
        <v>-92.699999999999989</v>
      </c>
      <c r="R11" s="355">
        <v>-93.9</v>
      </c>
      <c r="S11" s="356">
        <v>225.5</v>
      </c>
      <c r="T11" s="357" t="s">
        <v>92</v>
      </c>
      <c r="U11"/>
      <c r="V11" s="324">
        <v>112.6</v>
      </c>
      <c r="W11"/>
      <c r="X11" s="354">
        <v>-225.99999999999997</v>
      </c>
      <c r="Y11" s="355">
        <f>27.9000000000001-X11</f>
        <v>253.90000000000006</v>
      </c>
      <c r="Z11" s="356">
        <f>181.3-Y11-X11</f>
        <v>153.39999999999992</v>
      </c>
      <c r="AA11" s="357">
        <f t="shared" si="3"/>
        <v>27.699999999999989</v>
      </c>
      <c r="AB11" s="122"/>
      <c r="AC11" s="324">
        <v>209</v>
      </c>
      <c r="AD11" s="5"/>
      <c r="AE11" s="354">
        <v>26</v>
      </c>
      <c r="AF11" s="355">
        <f>170.8-AE11</f>
        <v>144.80000000000001</v>
      </c>
      <c r="AG11" s="356">
        <f>326.3-AF11-AE11</f>
        <v>155.5</v>
      </c>
      <c r="AH11" s="115">
        <f>AJ11-AG11-AF11-AE11</f>
        <v>63.099999999999909</v>
      </c>
      <c r="AI11" s="5"/>
      <c r="AJ11" s="532">
        <v>389.39999999999992</v>
      </c>
      <c r="AK11"/>
      <c r="AL11" s="404">
        <v>91.200000000000045</v>
      </c>
      <c r="AM11" s="355">
        <v>78.000000000000028</v>
      </c>
      <c r="AN11" s="356">
        <v>160.60000000000022</v>
      </c>
      <c r="AO11" s="324">
        <f t="shared" si="1"/>
        <v>136.6999999999997</v>
      </c>
      <c r="AP11"/>
      <c r="AQ11" s="542">
        <v>466.5</v>
      </c>
      <c r="AR11"/>
      <c r="AS11" s="354">
        <v>53.099999999999973</v>
      </c>
      <c r="AT11" s="355">
        <v>172.8</v>
      </c>
      <c r="AU11" s="356">
        <v>259.69999999999993</v>
      </c>
      <c r="AV11" s="324">
        <f t="shared" si="2"/>
        <v>224.99999999999966</v>
      </c>
      <c r="AW11"/>
      <c r="AX11" s="324">
        <v>710.59999999999957</v>
      </c>
      <c r="AY11"/>
      <c r="AZ11" s="354">
        <v>319.80000000000018</v>
      </c>
      <c r="BA11" s="355">
        <v>370.2</v>
      </c>
      <c r="BB11" s="356">
        <v>454.49999999999955</v>
      </c>
      <c r="BC11" s="324"/>
      <c r="BD11"/>
      <c r="BE11" s="324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</row>
    <row r="12" spans="1:195" s="60" customFormat="1" ht="20.100000000000001" customHeight="1" thickBot="1">
      <c r="A12" s="358" t="s">
        <v>170</v>
      </c>
      <c r="B12" s="359" t="s">
        <v>171</v>
      </c>
      <c r="C12" s="346">
        <f>SUM(C13:C16)</f>
        <v>-382.5</v>
      </c>
      <c r="D12" s="347">
        <f t="shared" ref="D12:F12" si="4">SUM(D13:D16)</f>
        <v>731.69999999999993</v>
      </c>
      <c r="E12" s="348">
        <f t="shared" si="4"/>
        <v>254.30000000000004</v>
      </c>
      <c r="F12" s="349">
        <f t="shared" si="4"/>
        <v>635.89999999999986</v>
      </c>
      <c r="G12"/>
      <c r="H12" s="217">
        <f>SUM(H13:H16)</f>
        <v>1239.3999999999999</v>
      </c>
      <c r="I12"/>
      <c r="J12" s="346">
        <f>SUM(J13:J16)</f>
        <v>-383.70000000000005</v>
      </c>
      <c r="K12" s="347">
        <f t="shared" ref="K12:M12" si="5">SUM(K13:K16)</f>
        <v>994.40000000000009</v>
      </c>
      <c r="L12" s="348">
        <f t="shared" si="5"/>
        <v>6.1999999999999034</v>
      </c>
      <c r="M12" s="349">
        <f t="shared" si="5"/>
        <v>531.50000000000011</v>
      </c>
      <c r="N12"/>
      <c r="O12" s="224">
        <f>SUM(O13:O16)</f>
        <v>1148.4000000000001</v>
      </c>
      <c r="P12" s="5"/>
      <c r="Q12" s="346">
        <f>SUM(Q13:Q16)</f>
        <v>-477.7</v>
      </c>
      <c r="R12" s="347">
        <f t="shared" ref="R12:S12" si="6">SUM(R13:R16)</f>
        <v>6.6999999999999034</v>
      </c>
      <c r="S12" s="348">
        <f t="shared" si="6"/>
        <v>234.5</v>
      </c>
      <c r="T12" s="349" t="s">
        <v>92</v>
      </c>
      <c r="U12"/>
      <c r="V12" s="360">
        <f>SUM(V13:V16)</f>
        <v>-236.79999999999998</v>
      </c>
      <c r="W12"/>
      <c r="X12" s="346">
        <f>SUM(X13:X16)</f>
        <v>124.39999999999998</v>
      </c>
      <c r="Y12" s="347">
        <f t="shared" ref="Y12:AA12" si="7">SUM(Y13:Y16)</f>
        <v>-40.299999999999912</v>
      </c>
      <c r="Z12" s="348">
        <f t="shared" si="7"/>
        <v>456.59999999999991</v>
      </c>
      <c r="AA12" s="349">
        <f t="shared" si="7"/>
        <v>-87.199999999999989</v>
      </c>
      <c r="AB12" s="122"/>
      <c r="AC12" s="360">
        <v>64.800000000000011</v>
      </c>
      <c r="AD12" s="5"/>
      <c r="AE12" s="346">
        <f>SUM(AE13:AE16)</f>
        <v>-108.79999999999995</v>
      </c>
      <c r="AF12" s="347">
        <f t="shared" ref="AF12" si="8">SUM(AF13:AF16)</f>
        <v>-174.60000000000016</v>
      </c>
      <c r="AG12" s="348">
        <f t="shared" ref="AG12" si="9">SUM(AG13:AG16)</f>
        <v>-294.89999999999975</v>
      </c>
      <c r="AH12" s="533">
        <f>AJ12-AG12-AF12-AE12</f>
        <v>239.19999999999985</v>
      </c>
      <c r="AI12" s="5"/>
      <c r="AJ12" s="534">
        <v>-339.1</v>
      </c>
      <c r="AK12"/>
      <c r="AL12" s="405">
        <v>-226.3</v>
      </c>
      <c r="AM12" s="347">
        <v>262.79999999999995</v>
      </c>
      <c r="AN12" s="348">
        <v>-97.19999999999996</v>
      </c>
      <c r="AO12" s="360">
        <f t="shared" si="1"/>
        <v>134.90000000000003</v>
      </c>
      <c r="AP12"/>
      <c r="AQ12" s="543">
        <v>74.2</v>
      </c>
      <c r="AR12"/>
      <c r="AS12" s="346">
        <v>270.39999999999998</v>
      </c>
      <c r="AT12" s="347">
        <v>38</v>
      </c>
      <c r="AU12" s="348">
        <v>27.100000000000023</v>
      </c>
      <c r="AV12" s="360">
        <f t="shared" si="2"/>
        <v>-225.2</v>
      </c>
      <c r="AW12"/>
      <c r="AX12" s="360">
        <v>110.30000000000001</v>
      </c>
      <c r="AY12"/>
      <c r="AZ12" s="346">
        <v>-91.5</v>
      </c>
      <c r="BA12" s="347">
        <v>-342.6</v>
      </c>
      <c r="BB12" s="348">
        <v>283.19999999999982</v>
      </c>
      <c r="BC12" s="360"/>
      <c r="BD12"/>
      <c r="BE12" s="360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</row>
    <row r="13" spans="1:195" ht="16.350000000000001" hidden="1" customHeight="1" outlineLevel="1">
      <c r="A13" s="331" t="s">
        <v>172</v>
      </c>
      <c r="B13" s="332" t="s">
        <v>173</v>
      </c>
      <c r="C13" s="308">
        <v>-299.2</v>
      </c>
      <c r="D13" s="309">
        <v>-18</v>
      </c>
      <c r="E13" s="307">
        <v>-98.699999999999989</v>
      </c>
      <c r="F13" s="303">
        <v>138.29999999999995</v>
      </c>
      <c r="H13" s="306">
        <v>-277.60000000000002</v>
      </c>
      <c r="J13" s="308">
        <v>-217.3</v>
      </c>
      <c r="K13" s="309">
        <v>65.600000000000023</v>
      </c>
      <c r="L13" s="307">
        <v>-152.30000000000001</v>
      </c>
      <c r="M13" s="303">
        <f t="shared" si="0"/>
        <v>222.9</v>
      </c>
      <c r="O13" s="310">
        <v>-81.099999999999994</v>
      </c>
      <c r="P13" s="5"/>
      <c r="Q13" s="308">
        <v>-428.2</v>
      </c>
      <c r="R13" s="309">
        <v>217.5</v>
      </c>
      <c r="S13" s="307">
        <v>-140.30000000000001</v>
      </c>
      <c r="T13" s="303" t="s">
        <v>92</v>
      </c>
      <c r="V13" s="323">
        <v>-357.3</v>
      </c>
      <c r="X13" s="308">
        <v>-303.60000000000002</v>
      </c>
      <c r="Y13" s="309">
        <f>-115.2-X13</f>
        <v>188.40000000000003</v>
      </c>
      <c r="Z13" s="307">
        <f>-152.7-Y13-X13</f>
        <v>-37.5</v>
      </c>
      <c r="AA13" s="303"/>
      <c r="AC13" s="323"/>
      <c r="AD13" s="5"/>
      <c r="AE13" s="308">
        <v>-252.1</v>
      </c>
      <c r="AF13" s="309">
        <f>-264.3-AE13</f>
        <v>-12.200000000000017</v>
      </c>
      <c r="AG13" s="307">
        <f>-345.4-AF13-AE13</f>
        <v>-81.099999999999937</v>
      </c>
      <c r="AH13" s="111"/>
      <c r="AI13" s="5"/>
      <c r="AJ13" s="531"/>
      <c r="AL13" s="403"/>
      <c r="AM13" s="309"/>
      <c r="AN13" s="307"/>
      <c r="AO13" s="323">
        <f t="shared" si="1"/>
        <v>0</v>
      </c>
      <c r="AQ13" s="541"/>
      <c r="AS13" s="308"/>
      <c r="AT13" s="309"/>
      <c r="AU13" s="307"/>
      <c r="AV13" s="323">
        <f t="shared" si="2"/>
        <v>0</v>
      </c>
      <c r="AX13" s="323"/>
      <c r="AZ13" s="308"/>
      <c r="BA13" s="309"/>
      <c r="BB13" s="307"/>
      <c r="BC13" s="323"/>
      <c r="BE13" s="323"/>
    </row>
    <row r="14" spans="1:195" ht="16.350000000000001" hidden="1" customHeight="1" outlineLevel="1">
      <c r="A14" s="333" t="s">
        <v>174</v>
      </c>
      <c r="B14" s="334" t="s">
        <v>175</v>
      </c>
      <c r="C14" s="308">
        <v>16.399999999999999</v>
      </c>
      <c r="D14" s="309">
        <v>-163.20000000000002</v>
      </c>
      <c r="E14" s="307">
        <v>74.200000000000017</v>
      </c>
      <c r="F14" s="303">
        <v>-27.200000000000003</v>
      </c>
      <c r="H14" s="306">
        <v>-99.8</v>
      </c>
      <c r="J14" s="308">
        <v>-154.9</v>
      </c>
      <c r="K14" s="309">
        <v>178.8</v>
      </c>
      <c r="L14" s="307">
        <v>-58.9</v>
      </c>
      <c r="M14" s="303">
        <f t="shared" si="0"/>
        <v>-38.800000000000004</v>
      </c>
      <c r="O14" s="310">
        <v>-73.8</v>
      </c>
      <c r="P14" s="5"/>
      <c r="Q14" s="308">
        <v>27.4</v>
      </c>
      <c r="R14" s="309">
        <v>75</v>
      </c>
      <c r="S14" s="307">
        <v>-60.2</v>
      </c>
      <c r="T14" s="303" t="s">
        <v>92</v>
      </c>
      <c r="V14" s="323">
        <v>29.3</v>
      </c>
      <c r="X14" s="308">
        <v>46.5</v>
      </c>
      <c r="Y14" s="309">
        <f>74.7-X14</f>
        <v>28.200000000000003</v>
      </c>
      <c r="Z14" s="307">
        <f>35.9-Y14-X14</f>
        <v>-38.800000000000004</v>
      </c>
      <c r="AA14" s="303"/>
      <c r="AC14" s="323"/>
      <c r="AD14" s="5"/>
      <c r="AE14" s="308">
        <v>-34.6</v>
      </c>
      <c r="AF14" s="309">
        <f>-51.5-AE14</f>
        <v>-16.899999999999999</v>
      </c>
      <c r="AG14" s="307">
        <f>-234-AF14-AE14</f>
        <v>-182.5</v>
      </c>
      <c r="AH14" s="111"/>
      <c r="AI14" s="5"/>
      <c r="AJ14" s="531"/>
      <c r="AL14" s="403"/>
      <c r="AM14" s="309"/>
      <c r="AN14" s="307"/>
      <c r="AO14" s="323">
        <f t="shared" si="1"/>
        <v>0</v>
      </c>
      <c r="AQ14" s="541"/>
      <c r="AS14" s="308"/>
      <c r="AT14" s="309"/>
      <c r="AU14" s="307"/>
      <c r="AV14" s="323">
        <f t="shared" si="2"/>
        <v>0</v>
      </c>
      <c r="AX14" s="323"/>
      <c r="AZ14" s="308"/>
      <c r="BA14" s="309"/>
      <c r="BB14" s="307"/>
      <c r="BC14" s="323"/>
      <c r="BE14" s="323"/>
    </row>
    <row r="15" spans="1:195" ht="16.350000000000001" hidden="1" customHeight="1" outlineLevel="1">
      <c r="A15" s="333" t="s">
        <v>176</v>
      </c>
      <c r="B15" s="334" t="s">
        <v>177</v>
      </c>
      <c r="C15" s="308">
        <v>143.6</v>
      </c>
      <c r="D15" s="309">
        <v>325.89999999999998</v>
      </c>
      <c r="E15" s="307">
        <v>125.10000000000002</v>
      </c>
      <c r="F15" s="303">
        <v>26.399999999999977</v>
      </c>
      <c r="H15" s="306">
        <v>621</v>
      </c>
      <c r="J15" s="308">
        <v>185.3</v>
      </c>
      <c r="K15" s="309">
        <v>95.800000000000011</v>
      </c>
      <c r="L15" s="307">
        <v>109.09999999999997</v>
      </c>
      <c r="M15" s="303">
        <f t="shared" si="0"/>
        <v>-73.5</v>
      </c>
      <c r="O15" s="310">
        <v>316.7</v>
      </c>
      <c r="P15" s="5"/>
      <c r="Q15" s="308">
        <v>208.3</v>
      </c>
      <c r="R15" s="309">
        <v>-242.20000000000002</v>
      </c>
      <c r="S15" s="307">
        <v>205</v>
      </c>
      <c r="T15" s="303" t="s">
        <v>92</v>
      </c>
      <c r="V15" s="323">
        <v>153.30000000000001</v>
      </c>
      <c r="X15" s="308">
        <v>432.3</v>
      </c>
      <c r="Y15" s="309">
        <f>68.6-X15</f>
        <v>-363.70000000000005</v>
      </c>
      <c r="Z15" s="307">
        <f>296.5-Y15-X15</f>
        <v>227.90000000000003</v>
      </c>
      <c r="AA15" s="303"/>
      <c r="AC15" s="323"/>
      <c r="AD15" s="5"/>
      <c r="AE15" s="308">
        <v>219.3</v>
      </c>
      <c r="AF15" s="309">
        <f>88.7-AE15</f>
        <v>-130.60000000000002</v>
      </c>
      <c r="AG15" s="307">
        <f>127.1-AF15-AE15</f>
        <v>38.400000000000034</v>
      </c>
      <c r="AH15" s="111"/>
      <c r="AI15" s="5"/>
      <c r="AJ15" s="531"/>
      <c r="AL15" s="403"/>
      <c r="AM15" s="309"/>
      <c r="AN15" s="307"/>
      <c r="AO15" s="323">
        <f t="shared" si="1"/>
        <v>0</v>
      </c>
      <c r="AQ15" s="541"/>
      <c r="AS15" s="308"/>
      <c r="AT15" s="309"/>
      <c r="AU15" s="307"/>
      <c r="AV15" s="323">
        <f t="shared" si="2"/>
        <v>0</v>
      </c>
      <c r="AX15" s="323"/>
      <c r="AZ15" s="308"/>
      <c r="BA15" s="309"/>
      <c r="BB15" s="307"/>
      <c r="BC15" s="323"/>
      <c r="BE15" s="323"/>
    </row>
    <row r="16" spans="1:195" s="60" customFormat="1" ht="20.100000000000001" customHeight="1" collapsed="1" thickBot="1">
      <c r="A16" s="350" t="s">
        <v>178</v>
      </c>
      <c r="B16" s="351" t="s">
        <v>179</v>
      </c>
      <c r="C16" s="346">
        <v>-243.3</v>
      </c>
      <c r="D16" s="347">
        <v>587</v>
      </c>
      <c r="E16" s="348">
        <v>153.69999999999999</v>
      </c>
      <c r="F16" s="349">
        <v>498.4</v>
      </c>
      <c r="G16"/>
      <c r="H16" s="218">
        <v>995.8</v>
      </c>
      <c r="I16"/>
      <c r="J16" s="346">
        <v>-196.8</v>
      </c>
      <c r="K16" s="347">
        <v>654.20000000000005</v>
      </c>
      <c r="L16" s="348">
        <v>108.29999999999995</v>
      </c>
      <c r="M16" s="349">
        <f t="shared" si="0"/>
        <v>420.90000000000009</v>
      </c>
      <c r="N16"/>
      <c r="O16" s="225">
        <f>SUM(O13:O15)+O11</f>
        <v>986.60000000000014</v>
      </c>
      <c r="P16" s="5"/>
      <c r="Q16" s="346">
        <v>-285.2</v>
      </c>
      <c r="R16" s="347">
        <v>-43.60000000000008</v>
      </c>
      <c r="S16" s="348">
        <v>230</v>
      </c>
      <c r="T16" s="349" t="s">
        <v>92</v>
      </c>
      <c r="U16"/>
      <c r="V16" s="326">
        <v>-62.1</v>
      </c>
      <c r="W16"/>
      <c r="X16" s="346">
        <v>-50.800000000000011</v>
      </c>
      <c r="Y16" s="347">
        <f>56.0000000000001-X16</f>
        <v>106.80000000000011</v>
      </c>
      <c r="Z16" s="348">
        <f>361-Y16-X16</f>
        <v>304.99999999999989</v>
      </c>
      <c r="AA16" s="349">
        <f>AC16-Z16-Y16-X16</f>
        <v>-87.199999999999989</v>
      </c>
      <c r="AB16" s="122"/>
      <c r="AC16" s="326">
        <v>273.8</v>
      </c>
      <c r="AD16" s="5"/>
      <c r="AE16" s="346">
        <v>-41.399999999999977</v>
      </c>
      <c r="AF16" s="347">
        <f>-56.3000000000001-AE16</f>
        <v>-14.900000000000119</v>
      </c>
      <c r="AG16" s="348">
        <f>-126-AF16-AE16</f>
        <v>-69.699999999999903</v>
      </c>
      <c r="AH16" s="533">
        <f>AJ16-AG16-AF16-AE16</f>
        <v>176.2999999999999</v>
      </c>
      <c r="AI16" s="5"/>
      <c r="AJ16" s="535">
        <v>50.299999999999898</v>
      </c>
      <c r="AK16"/>
      <c r="AL16" s="405">
        <v>-135.09999999999997</v>
      </c>
      <c r="AM16" s="347">
        <v>340.8</v>
      </c>
      <c r="AN16" s="348">
        <v>63.400000000000269</v>
      </c>
      <c r="AO16" s="326">
        <f t="shared" si="1"/>
        <v>271.59999999999974</v>
      </c>
      <c r="AP16"/>
      <c r="AQ16" s="535">
        <v>540.70000000000005</v>
      </c>
      <c r="AR16"/>
      <c r="AS16" s="346">
        <v>323.49999999999994</v>
      </c>
      <c r="AT16" s="347">
        <v>210.8</v>
      </c>
      <c r="AU16" s="348">
        <v>286.79999999999995</v>
      </c>
      <c r="AV16" s="326">
        <f t="shared" si="2"/>
        <v>-0.20000000000027285</v>
      </c>
      <c r="AW16"/>
      <c r="AX16" s="326">
        <v>820.89999999999964</v>
      </c>
      <c r="AY16"/>
      <c r="AZ16" s="346">
        <v>228.30000000000018</v>
      </c>
      <c r="BA16" s="347">
        <v>27.6</v>
      </c>
      <c r="BB16" s="348">
        <v>737.69999999999936</v>
      </c>
      <c r="BC16" s="326"/>
      <c r="BD16"/>
      <c r="BE16" s="32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</row>
    <row r="17" spans="1:195" ht="16.350000000000001" hidden="1" customHeight="1" outlineLevel="1" thickTop="1">
      <c r="A17" s="331" t="s">
        <v>180</v>
      </c>
      <c r="B17" s="335" t="s">
        <v>246</v>
      </c>
      <c r="C17" s="308">
        <v>7.4</v>
      </c>
      <c r="D17" s="309">
        <v>21.200000000000003</v>
      </c>
      <c r="E17" s="307">
        <v>4</v>
      </c>
      <c r="F17" s="303">
        <v>66.599999999999994</v>
      </c>
      <c r="H17" s="306">
        <v>99.2</v>
      </c>
      <c r="J17" s="308">
        <v>21</v>
      </c>
      <c r="K17" s="309">
        <v>-10.9</v>
      </c>
      <c r="L17" s="307">
        <v>9.2000000000000011</v>
      </c>
      <c r="M17" s="303">
        <f t="shared" si="0"/>
        <v>32.099999999999994</v>
      </c>
      <c r="O17" s="310">
        <v>51.4</v>
      </c>
      <c r="P17" s="5"/>
      <c r="Q17" s="308">
        <v>3.9</v>
      </c>
      <c r="R17" s="309">
        <v>-3.4</v>
      </c>
      <c r="S17" s="307">
        <v>8.8000000000000007</v>
      </c>
      <c r="T17" s="303" t="s">
        <v>92</v>
      </c>
      <c r="V17" s="323">
        <v>9.9</v>
      </c>
      <c r="X17" s="308">
        <v>1.4</v>
      </c>
      <c r="Y17" s="309">
        <f>2.4-X17</f>
        <v>1</v>
      </c>
      <c r="Z17" s="307">
        <f>11.7-Y17-X17</f>
        <v>9.2999999999999989</v>
      </c>
      <c r="AA17" s="303"/>
      <c r="AC17" s="323"/>
      <c r="AD17" s="5"/>
      <c r="AE17" s="308">
        <v>3.8</v>
      </c>
      <c r="AF17" s="309">
        <f>1-AE17</f>
        <v>-2.8</v>
      </c>
      <c r="AG17" s="307">
        <f>1.6-AF17-AE17</f>
        <v>0.60000000000000053</v>
      </c>
      <c r="AH17" s="111"/>
      <c r="AI17" s="5"/>
      <c r="AJ17" s="531"/>
      <c r="AL17" s="403"/>
      <c r="AM17" s="309"/>
      <c r="AN17" s="307"/>
      <c r="AO17" s="323">
        <f t="shared" si="1"/>
        <v>0</v>
      </c>
      <c r="AQ17" s="541"/>
      <c r="AS17" s="308"/>
      <c r="AT17" s="309"/>
      <c r="AU17" s="307"/>
      <c r="AV17" s="323">
        <f t="shared" si="2"/>
        <v>0</v>
      </c>
      <c r="AX17" s="323"/>
      <c r="AZ17" s="308"/>
      <c r="BA17" s="309"/>
      <c r="BB17" s="307"/>
      <c r="BC17" s="323"/>
      <c r="BE17" s="323"/>
    </row>
    <row r="18" spans="1:195" ht="16.350000000000001" hidden="1" customHeight="1" outlineLevel="1">
      <c r="A18" s="316" t="s">
        <v>241</v>
      </c>
      <c r="B18" s="317" t="s">
        <v>247</v>
      </c>
      <c r="C18" s="308"/>
      <c r="D18" s="320"/>
      <c r="E18" s="309"/>
      <c r="F18" s="303"/>
      <c r="H18" s="306"/>
      <c r="J18" s="308"/>
      <c r="K18" s="320"/>
      <c r="L18" s="309"/>
      <c r="M18" s="303"/>
      <c r="O18" s="310"/>
      <c r="P18" s="5"/>
      <c r="Q18" s="308"/>
      <c r="R18" s="320"/>
      <c r="S18" s="309"/>
      <c r="T18" s="303"/>
      <c r="V18" s="323"/>
      <c r="X18" s="308">
        <v>0</v>
      </c>
      <c r="Y18" s="320">
        <v>0</v>
      </c>
      <c r="Z18" s="309">
        <v>0</v>
      </c>
      <c r="AA18" s="303"/>
      <c r="AC18" s="323"/>
      <c r="AD18" s="5"/>
      <c r="AE18" s="308">
        <v>2.7</v>
      </c>
      <c r="AF18" s="320">
        <f>10.4-AE18</f>
        <v>7.7</v>
      </c>
      <c r="AG18" s="309">
        <f>15.3-AF18-AE18</f>
        <v>4.9000000000000004</v>
      </c>
      <c r="AH18" s="111"/>
      <c r="AI18" s="5"/>
      <c r="AJ18" s="531"/>
      <c r="AL18" s="403"/>
      <c r="AM18" s="320"/>
      <c r="AN18" s="309"/>
      <c r="AO18" s="323">
        <f t="shared" si="1"/>
        <v>0</v>
      </c>
      <c r="AQ18" s="541"/>
      <c r="AS18" s="308"/>
      <c r="AT18" s="320"/>
      <c r="AU18" s="309"/>
      <c r="AV18" s="323">
        <f t="shared" si="2"/>
        <v>0</v>
      </c>
      <c r="AX18" s="323"/>
      <c r="AZ18" s="308"/>
      <c r="BA18" s="320"/>
      <c r="BB18" s="309"/>
      <c r="BC18" s="323"/>
      <c r="BE18" s="323"/>
    </row>
    <row r="19" spans="1:195" ht="16.350000000000001" hidden="1" customHeight="1" outlineLevel="1">
      <c r="A19" s="333" t="s">
        <v>181</v>
      </c>
      <c r="B19" s="334" t="s">
        <v>182</v>
      </c>
      <c r="C19" s="308">
        <v>9.1</v>
      </c>
      <c r="D19" s="320">
        <v>-3.5</v>
      </c>
      <c r="E19" s="309">
        <v>-5.6</v>
      </c>
      <c r="F19" s="303">
        <v>16.8</v>
      </c>
      <c r="H19" s="306">
        <v>16.8</v>
      </c>
      <c r="J19" s="308" t="s">
        <v>28</v>
      </c>
      <c r="K19" s="320">
        <v>0</v>
      </c>
      <c r="L19" s="309">
        <v>0</v>
      </c>
      <c r="M19" s="303">
        <f t="shared" si="0"/>
        <v>3.9</v>
      </c>
      <c r="O19" s="310">
        <v>3.9</v>
      </c>
      <c r="P19" s="5"/>
      <c r="Q19" s="308" t="s">
        <v>28</v>
      </c>
      <c r="R19" s="320">
        <v>0</v>
      </c>
      <c r="S19" s="309">
        <v>0</v>
      </c>
      <c r="T19" s="303" t="s">
        <v>92</v>
      </c>
      <c r="V19" s="323">
        <v>0</v>
      </c>
      <c r="X19" s="308">
        <v>0</v>
      </c>
      <c r="Y19" s="320">
        <v>0</v>
      </c>
      <c r="Z19" s="309">
        <v>0</v>
      </c>
      <c r="AA19" s="303"/>
      <c r="AC19" s="323"/>
      <c r="AD19" s="5"/>
      <c r="AE19" s="308">
        <v>0</v>
      </c>
      <c r="AF19" s="320">
        <v>0</v>
      </c>
      <c r="AG19" s="309"/>
      <c r="AH19" s="111"/>
      <c r="AI19" s="5"/>
      <c r="AJ19" s="531"/>
      <c r="AL19" s="403"/>
      <c r="AM19" s="320"/>
      <c r="AN19" s="309"/>
      <c r="AO19" s="323">
        <f t="shared" si="1"/>
        <v>0</v>
      </c>
      <c r="AQ19" s="541"/>
      <c r="AS19" s="308"/>
      <c r="AT19" s="320"/>
      <c r="AU19" s="309"/>
      <c r="AV19" s="323">
        <f t="shared" si="2"/>
        <v>0</v>
      </c>
      <c r="AX19" s="323"/>
      <c r="AZ19" s="308"/>
      <c r="BA19" s="320"/>
      <c r="BB19" s="309"/>
      <c r="BC19" s="323"/>
      <c r="BE19" s="323"/>
    </row>
    <row r="20" spans="1:195" ht="16.350000000000001" hidden="1" customHeight="1" outlineLevel="1">
      <c r="A20" s="336" t="s">
        <v>183</v>
      </c>
      <c r="B20" s="337" t="s">
        <v>184</v>
      </c>
      <c r="C20" s="308"/>
      <c r="D20" s="309"/>
      <c r="E20" s="307"/>
      <c r="F20" s="303"/>
      <c r="H20" s="306" t="s">
        <v>28</v>
      </c>
      <c r="J20" s="308" t="s">
        <v>28</v>
      </c>
      <c r="K20" s="309">
        <v>11.9</v>
      </c>
      <c r="L20" s="307">
        <v>0</v>
      </c>
      <c r="M20" s="303">
        <f t="shared" si="0"/>
        <v>14.9</v>
      </c>
      <c r="O20" s="310">
        <v>26.8</v>
      </c>
      <c r="P20" s="5"/>
      <c r="Q20" s="308" t="s">
        <v>28</v>
      </c>
      <c r="R20" s="309">
        <v>0</v>
      </c>
      <c r="S20" s="307">
        <v>0</v>
      </c>
      <c r="T20" s="303" t="s">
        <v>92</v>
      </c>
      <c r="V20" s="323">
        <v>0</v>
      </c>
      <c r="X20" s="308">
        <v>0</v>
      </c>
      <c r="Y20" s="309">
        <v>0</v>
      </c>
      <c r="Z20" s="307">
        <v>0</v>
      </c>
      <c r="AA20" s="303"/>
      <c r="AC20" s="323"/>
      <c r="AD20" s="5"/>
      <c r="AE20" s="308">
        <v>0</v>
      </c>
      <c r="AF20" s="309">
        <v>0</v>
      </c>
      <c r="AG20" s="307"/>
      <c r="AH20" s="111"/>
      <c r="AI20" s="5"/>
      <c r="AJ20" s="531"/>
      <c r="AL20" s="403"/>
      <c r="AM20" s="309"/>
      <c r="AN20" s="307"/>
      <c r="AO20" s="323">
        <f t="shared" si="1"/>
        <v>0</v>
      </c>
      <c r="AQ20" s="541"/>
      <c r="AS20" s="308"/>
      <c r="AT20" s="309"/>
      <c r="AU20" s="307"/>
      <c r="AV20" s="323">
        <f t="shared" si="2"/>
        <v>0</v>
      </c>
      <c r="AX20" s="323"/>
      <c r="AZ20" s="308"/>
      <c r="BA20" s="309"/>
      <c r="BB20" s="307"/>
      <c r="BC20" s="323"/>
      <c r="BE20" s="323"/>
    </row>
    <row r="21" spans="1:195" ht="16.350000000000001" customHeight="1" collapsed="1" thickTop="1">
      <c r="A21" s="316" t="s">
        <v>263</v>
      </c>
      <c r="B21" s="317" t="s">
        <v>248</v>
      </c>
      <c r="C21" s="308">
        <v>-81.099999999999994</v>
      </c>
      <c r="D21" s="309">
        <v>-50.700000000000017</v>
      </c>
      <c r="E21" s="307">
        <v>-136.30000000000001</v>
      </c>
      <c r="F21" s="303">
        <v>-170.59999999999997</v>
      </c>
      <c r="H21" s="306">
        <v>-438.7</v>
      </c>
      <c r="J21" s="308">
        <v>-117.4</v>
      </c>
      <c r="K21" s="309">
        <v>-146.70000000000002</v>
      </c>
      <c r="L21" s="307">
        <v>-105.69999999999999</v>
      </c>
      <c r="M21" s="303">
        <f t="shared" si="0"/>
        <v>-127.09999999999997</v>
      </c>
      <c r="O21" s="310">
        <f>-496.9</f>
        <v>-496.9</v>
      </c>
      <c r="P21" s="5"/>
      <c r="Q21" s="308">
        <v>-35.200000000000003</v>
      </c>
      <c r="R21" s="309">
        <v>2.8000000000000043</v>
      </c>
      <c r="S21" s="307">
        <v>-169.6</v>
      </c>
      <c r="T21" s="303" t="s">
        <v>92</v>
      </c>
      <c r="V21" s="323">
        <v>-206.4</v>
      </c>
      <c r="X21" s="308">
        <v>-43.8</v>
      </c>
      <c r="Y21" s="309">
        <f>-157-X21</f>
        <v>-113.2</v>
      </c>
      <c r="Z21" s="307">
        <f>-179.9-Y21-X21</f>
        <v>-22.900000000000006</v>
      </c>
      <c r="AA21" s="303">
        <f>AC21-Z21-Y21-X21</f>
        <v>-14.599999999999994</v>
      </c>
      <c r="AC21" s="323">
        <v>-194.5</v>
      </c>
      <c r="AD21" s="5"/>
      <c r="AE21" s="308">
        <v>-42.2</v>
      </c>
      <c r="AF21" s="309">
        <f>-129.3-AE21</f>
        <v>-87.100000000000009</v>
      </c>
      <c r="AG21" s="307">
        <f>-226.4-AF21-AE21</f>
        <v>-97.100000000000009</v>
      </c>
      <c r="AH21" s="111">
        <f>AJ21-AG21-AF21-AE21</f>
        <v>-86.499999999999929</v>
      </c>
      <c r="AI21" s="5"/>
      <c r="AJ21" s="531">
        <v>-312.89999999999998</v>
      </c>
      <c r="AL21" s="403">
        <v>-76.5</v>
      </c>
      <c r="AM21" s="309">
        <v>-169.5</v>
      </c>
      <c r="AN21" s="307">
        <v>-126.10000000000002</v>
      </c>
      <c r="AO21" s="323">
        <f t="shared" si="1"/>
        <v>-83</v>
      </c>
      <c r="AQ21" s="541">
        <v>-455.1</v>
      </c>
      <c r="AS21" s="308">
        <v>-109.1</v>
      </c>
      <c r="AT21" s="309">
        <v>-99.8</v>
      </c>
      <c r="AU21" s="307">
        <v>-55.200000000000017</v>
      </c>
      <c r="AV21" s="323">
        <f t="shared" si="2"/>
        <v>-61</v>
      </c>
      <c r="AX21" s="323">
        <v>-325.10000000000002</v>
      </c>
      <c r="AZ21" s="308">
        <v>-79.7</v>
      </c>
      <c r="BA21" s="309">
        <v>-97.8</v>
      </c>
      <c r="BB21" s="307">
        <v>-139.19999999999999</v>
      </c>
      <c r="BC21" s="323"/>
      <c r="BE21" s="323"/>
    </row>
    <row r="22" spans="1:195" ht="16.350000000000001" hidden="1" customHeight="1" outlineLevel="1">
      <c r="A22" s="333" t="s">
        <v>185</v>
      </c>
      <c r="B22" s="317" t="s">
        <v>249</v>
      </c>
      <c r="C22" s="308">
        <v>0</v>
      </c>
      <c r="D22" s="309">
        <v>-7.6</v>
      </c>
      <c r="E22" s="307">
        <v>-1.5</v>
      </c>
      <c r="F22" s="303">
        <v>1.5</v>
      </c>
      <c r="H22" s="306">
        <v>-7.6</v>
      </c>
      <c r="J22" s="308">
        <v>-52.1</v>
      </c>
      <c r="K22" s="309">
        <v>-20.100000000000001</v>
      </c>
      <c r="L22" s="307">
        <v>-40.5</v>
      </c>
      <c r="M22" s="303">
        <f t="shared" si="0"/>
        <v>-36.200000000000003</v>
      </c>
      <c r="O22" s="310">
        <v>-148.9</v>
      </c>
      <c r="P22" s="5"/>
      <c r="Q22" s="308">
        <v>-62.7</v>
      </c>
      <c r="R22" s="309">
        <v>62.7</v>
      </c>
      <c r="S22" s="307">
        <v>0</v>
      </c>
      <c r="T22" s="303" t="s">
        <v>92</v>
      </c>
      <c r="V22" s="323">
        <v>0</v>
      </c>
      <c r="X22" s="308">
        <v>0</v>
      </c>
      <c r="Y22" s="309">
        <v>0</v>
      </c>
      <c r="Z22" s="307">
        <v>0</v>
      </c>
      <c r="AA22" s="303"/>
      <c r="AC22" s="323"/>
      <c r="AD22" s="5"/>
      <c r="AE22" s="308">
        <v>0</v>
      </c>
      <c r="AF22" s="309">
        <v>0</v>
      </c>
      <c r="AG22" s="307"/>
      <c r="AH22" s="111"/>
      <c r="AI22" s="5"/>
      <c r="AJ22" s="531"/>
      <c r="AL22" s="403"/>
      <c r="AM22" s="309"/>
      <c r="AN22" s="307"/>
      <c r="AO22" s="323">
        <f t="shared" si="1"/>
        <v>0</v>
      </c>
      <c r="AQ22" s="541"/>
      <c r="AS22" s="308"/>
      <c r="AT22" s="309"/>
      <c r="AU22" s="307"/>
      <c r="AV22" s="323">
        <f t="shared" si="2"/>
        <v>0</v>
      </c>
      <c r="AX22" s="323"/>
      <c r="AZ22" s="308"/>
      <c r="BA22" s="309"/>
      <c r="BB22" s="307"/>
      <c r="BC22" s="323"/>
      <c r="BE22" s="323"/>
    </row>
    <row r="23" spans="1:195" ht="16.350000000000001" hidden="1" customHeight="1" outlineLevel="1">
      <c r="A23" s="316" t="s">
        <v>242</v>
      </c>
      <c r="B23" s="317" t="s">
        <v>250</v>
      </c>
      <c r="C23" s="308">
        <v>0</v>
      </c>
      <c r="D23" s="309">
        <v>-131.1</v>
      </c>
      <c r="E23" s="307">
        <v>-1.3000000000000114</v>
      </c>
      <c r="F23" s="303">
        <v>-82.299999999999983</v>
      </c>
      <c r="H23" s="306">
        <v>-214.7</v>
      </c>
      <c r="J23" s="308">
        <v>-2.5</v>
      </c>
      <c r="K23" s="309">
        <v>-14</v>
      </c>
      <c r="L23" s="307">
        <v>0</v>
      </c>
      <c r="M23" s="303">
        <f t="shared" si="0"/>
        <v>0</v>
      </c>
      <c r="O23" s="310">
        <v>-16.5</v>
      </c>
      <c r="P23" s="5"/>
      <c r="Q23" s="308">
        <v>-7</v>
      </c>
      <c r="R23" s="309">
        <v>0</v>
      </c>
      <c r="S23" s="307">
        <v>0</v>
      </c>
      <c r="T23" s="303" t="s">
        <v>92</v>
      </c>
      <c r="V23" s="323">
        <v>0</v>
      </c>
      <c r="X23" s="308">
        <v>0</v>
      </c>
      <c r="Y23" s="309">
        <v>0</v>
      </c>
      <c r="Z23" s="307">
        <v>0</v>
      </c>
      <c r="AA23" s="303"/>
      <c r="AC23" s="323"/>
      <c r="AD23" s="5"/>
      <c r="AE23" s="308">
        <v>0</v>
      </c>
      <c r="AF23" s="309">
        <v>0</v>
      </c>
      <c r="AG23" s="307"/>
      <c r="AH23" s="111"/>
      <c r="AI23" s="5"/>
      <c r="AJ23" s="531"/>
      <c r="AL23" s="403"/>
      <c r="AM23" s="309"/>
      <c r="AN23" s="307"/>
      <c r="AO23" s="323">
        <f t="shared" si="1"/>
        <v>0</v>
      </c>
      <c r="AQ23" s="541"/>
      <c r="AS23" s="308"/>
      <c r="AT23" s="309"/>
      <c r="AU23" s="307"/>
      <c r="AV23" s="323">
        <f t="shared" si="2"/>
        <v>0</v>
      </c>
      <c r="AX23" s="323"/>
      <c r="AZ23" s="308"/>
      <c r="BA23" s="309"/>
      <c r="BB23" s="307"/>
      <c r="BC23" s="323"/>
      <c r="BE23" s="323"/>
    </row>
    <row r="24" spans="1:195" ht="16.350000000000001" hidden="1" customHeight="1" outlineLevel="1">
      <c r="A24" s="316" t="s">
        <v>243</v>
      </c>
      <c r="B24" s="317" t="s">
        <v>251</v>
      </c>
      <c r="C24" s="308">
        <v>0</v>
      </c>
      <c r="D24" s="309">
        <v>0</v>
      </c>
      <c r="E24" s="307">
        <v>0</v>
      </c>
      <c r="F24" s="303">
        <v>-10.4</v>
      </c>
      <c r="H24" s="306">
        <v>-10.4</v>
      </c>
      <c r="J24" s="308">
        <v>-110.4</v>
      </c>
      <c r="K24" s="309">
        <v>-8</v>
      </c>
      <c r="L24" s="307">
        <v>0</v>
      </c>
      <c r="M24" s="303">
        <f t="shared" si="0"/>
        <v>0</v>
      </c>
      <c r="O24" s="310">
        <v>-118.4</v>
      </c>
      <c r="P24" s="5"/>
      <c r="Q24" s="308">
        <v>0</v>
      </c>
      <c r="R24" s="309">
        <v>0</v>
      </c>
      <c r="S24" s="307">
        <v>0</v>
      </c>
      <c r="T24" s="303" t="s">
        <v>92</v>
      </c>
      <c r="V24" s="323">
        <v>-44</v>
      </c>
      <c r="X24" s="308">
        <v>-8.6999999999999993</v>
      </c>
      <c r="Y24" s="309">
        <f>-X24</f>
        <v>8.6999999999999993</v>
      </c>
      <c r="Z24" s="307">
        <f>0-Y24-X24</f>
        <v>0</v>
      </c>
      <c r="AA24" s="303"/>
      <c r="AC24" s="323"/>
      <c r="AD24" s="5"/>
      <c r="AE24" s="308">
        <v>0</v>
      </c>
      <c r="AF24" s="309">
        <v>0</v>
      </c>
      <c r="AG24" s="307"/>
      <c r="AH24" s="111"/>
      <c r="AI24" s="5"/>
      <c r="AJ24" s="531"/>
      <c r="AL24" s="403"/>
      <c r="AM24" s="309"/>
      <c r="AN24" s="307"/>
      <c r="AO24" s="323">
        <f t="shared" si="1"/>
        <v>0</v>
      </c>
      <c r="AQ24" s="541"/>
      <c r="AS24" s="308"/>
      <c r="AT24" s="309"/>
      <c r="AU24" s="307"/>
      <c r="AV24" s="323">
        <f t="shared" si="2"/>
        <v>0</v>
      </c>
      <c r="AX24" s="323"/>
      <c r="AZ24" s="308"/>
      <c r="BA24" s="309"/>
      <c r="BB24" s="307"/>
      <c r="BC24" s="323"/>
      <c r="BE24" s="323"/>
    </row>
    <row r="25" spans="1:195" ht="16.350000000000001" hidden="1" customHeight="1" outlineLevel="1">
      <c r="A25" s="338" t="s">
        <v>244</v>
      </c>
      <c r="B25" s="339" t="s">
        <v>247</v>
      </c>
      <c r="C25" s="308"/>
      <c r="D25" s="309"/>
      <c r="E25" s="307"/>
      <c r="F25" s="303"/>
      <c r="H25" s="306"/>
      <c r="J25" s="308"/>
      <c r="K25" s="309"/>
      <c r="L25" s="307"/>
      <c r="M25" s="303"/>
      <c r="O25" s="310"/>
      <c r="P25" s="5"/>
      <c r="Q25" s="308"/>
      <c r="R25" s="309"/>
      <c r="S25" s="307"/>
      <c r="T25" s="303"/>
      <c r="V25" s="323"/>
      <c r="X25" s="308">
        <v>0</v>
      </c>
      <c r="Y25" s="309">
        <v>0</v>
      </c>
      <c r="Z25" s="307">
        <v>0</v>
      </c>
      <c r="AA25" s="303"/>
      <c r="AC25" s="323"/>
      <c r="AD25" s="5"/>
      <c r="AE25" s="308">
        <v>0</v>
      </c>
      <c r="AF25" s="309">
        <v>51.5</v>
      </c>
      <c r="AG25" s="307">
        <f>57.5-AF25</f>
        <v>6</v>
      </c>
      <c r="AH25" s="111"/>
      <c r="AI25" s="5"/>
      <c r="AJ25" s="531"/>
      <c r="AL25" s="403"/>
      <c r="AM25" s="309"/>
      <c r="AN25" s="307"/>
      <c r="AO25" s="323">
        <f t="shared" si="1"/>
        <v>0</v>
      </c>
      <c r="AQ25" s="541"/>
      <c r="AS25" s="308"/>
      <c r="AT25" s="309"/>
      <c r="AU25" s="307"/>
      <c r="AV25" s="323">
        <f t="shared" si="2"/>
        <v>0</v>
      </c>
      <c r="AX25" s="323"/>
      <c r="AZ25" s="308"/>
      <c r="BA25" s="309"/>
      <c r="BB25" s="307"/>
      <c r="BC25" s="323"/>
      <c r="BE25" s="323"/>
    </row>
    <row r="26" spans="1:195" ht="16.350000000000001" hidden="1" customHeight="1" outlineLevel="1">
      <c r="A26" s="340" t="s">
        <v>186</v>
      </c>
      <c r="B26" s="339" t="s">
        <v>252</v>
      </c>
      <c r="C26" s="308"/>
      <c r="D26" s="309"/>
      <c r="E26" s="309"/>
      <c r="F26" s="303"/>
      <c r="H26" s="306">
        <v>0</v>
      </c>
      <c r="J26" s="308">
        <v>0</v>
      </c>
      <c r="K26" s="309">
        <v>-5.5</v>
      </c>
      <c r="L26" s="309">
        <v>0</v>
      </c>
      <c r="M26" s="303">
        <f t="shared" si="0"/>
        <v>0</v>
      </c>
      <c r="O26" s="310">
        <v>-5.5</v>
      </c>
      <c r="P26" s="5"/>
      <c r="Q26" s="308">
        <v>0</v>
      </c>
      <c r="R26" s="309">
        <v>-31.6</v>
      </c>
      <c r="S26" s="309">
        <v>-3.1999999999999957</v>
      </c>
      <c r="T26" s="303" t="s">
        <v>92</v>
      </c>
      <c r="V26" s="323">
        <v>-23.2</v>
      </c>
      <c r="X26" s="308">
        <v>-22.1</v>
      </c>
      <c r="Y26" s="309">
        <f>-34.8-X26</f>
        <v>-12.699999999999996</v>
      </c>
      <c r="Z26" s="309">
        <f>-34.8-Y26-X26</f>
        <v>0</v>
      </c>
      <c r="AA26" s="303"/>
      <c r="AC26" s="323"/>
      <c r="AD26" s="5"/>
      <c r="AE26" s="308">
        <v>0</v>
      </c>
      <c r="AF26" s="309">
        <v>0</v>
      </c>
      <c r="AG26" s="309"/>
      <c r="AH26" s="111"/>
      <c r="AI26" s="5"/>
      <c r="AJ26" s="531"/>
      <c r="AL26" s="403"/>
      <c r="AM26" s="309"/>
      <c r="AN26" s="309"/>
      <c r="AO26" s="323">
        <f t="shared" si="1"/>
        <v>0</v>
      </c>
      <c r="AQ26" s="541"/>
      <c r="AS26" s="308"/>
      <c r="AT26" s="309"/>
      <c r="AU26" s="309"/>
      <c r="AV26" s="323">
        <f t="shared" si="2"/>
        <v>0</v>
      </c>
      <c r="AX26" s="323"/>
      <c r="AZ26" s="308"/>
      <c r="BA26" s="309"/>
      <c r="BB26" s="309"/>
      <c r="BC26" s="323"/>
      <c r="BE26" s="323"/>
    </row>
    <row r="27" spans="1:195" ht="16.350000000000001" hidden="1" customHeight="1" outlineLevel="1">
      <c r="A27" s="333" t="s">
        <v>187</v>
      </c>
      <c r="B27" s="317" t="s">
        <v>253</v>
      </c>
      <c r="C27" s="308">
        <v>0</v>
      </c>
      <c r="D27" s="309">
        <v>0</v>
      </c>
      <c r="E27" s="309">
        <v>0</v>
      </c>
      <c r="F27" s="303">
        <v>-65.400000000000006</v>
      </c>
      <c r="H27" s="306">
        <v>-65.400000000000006</v>
      </c>
      <c r="J27" s="308">
        <v>0</v>
      </c>
      <c r="K27" s="309">
        <v>0</v>
      </c>
      <c r="L27" s="309">
        <v>-9.4</v>
      </c>
      <c r="M27" s="303">
        <f t="shared" ref="M27" si="10">O27-SUM(J27:L27)</f>
        <v>-9.9999999999999645E-2</v>
      </c>
      <c r="O27" s="310">
        <v>-9.5</v>
      </c>
      <c r="P27" s="5"/>
      <c r="Q27" s="308">
        <v>0</v>
      </c>
      <c r="R27" s="309">
        <v>0</v>
      </c>
      <c r="S27" s="309">
        <v>0</v>
      </c>
      <c r="T27" s="303" t="s">
        <v>92</v>
      </c>
      <c r="V27" s="323">
        <v>0</v>
      </c>
      <c r="X27" s="308">
        <v>0</v>
      </c>
      <c r="Y27" s="309">
        <v>0</v>
      </c>
      <c r="Z27" s="309">
        <v>0</v>
      </c>
      <c r="AA27" s="303"/>
      <c r="AC27" s="323"/>
      <c r="AD27" s="5"/>
      <c r="AE27" s="308">
        <v>0</v>
      </c>
      <c r="AF27" s="309">
        <v>0</v>
      </c>
      <c r="AG27" s="309"/>
      <c r="AH27" s="111"/>
      <c r="AI27" s="5"/>
      <c r="AJ27" s="531"/>
      <c r="AL27" s="403"/>
      <c r="AM27" s="309"/>
      <c r="AN27" s="309"/>
      <c r="AO27" s="323">
        <f t="shared" si="1"/>
        <v>0</v>
      </c>
      <c r="AQ27" s="541"/>
      <c r="AS27" s="308"/>
      <c r="AT27" s="309"/>
      <c r="AU27" s="309"/>
      <c r="AV27" s="323">
        <f t="shared" si="2"/>
        <v>0</v>
      </c>
      <c r="AX27" s="323"/>
      <c r="AZ27" s="308"/>
      <c r="BA27" s="309"/>
      <c r="BB27" s="309"/>
      <c r="BC27" s="323"/>
      <c r="BE27" s="323"/>
    </row>
    <row r="28" spans="1:195" ht="16.350000000000001" hidden="1" customHeight="1" outlineLevel="1">
      <c r="A28" s="316" t="s">
        <v>245</v>
      </c>
      <c r="B28" s="317" t="s">
        <v>254</v>
      </c>
      <c r="C28" s="308">
        <v>0</v>
      </c>
      <c r="D28" s="309">
        <v>0</v>
      </c>
      <c r="E28" s="309">
        <v>0</v>
      </c>
      <c r="F28" s="303">
        <v>0</v>
      </c>
      <c r="H28" s="306"/>
      <c r="J28" s="308"/>
      <c r="K28" s="309"/>
      <c r="L28" s="309"/>
      <c r="M28" s="303"/>
      <c r="O28" s="310"/>
      <c r="P28" s="5"/>
      <c r="Q28" s="308"/>
      <c r="R28" s="309"/>
      <c r="S28" s="309"/>
      <c r="T28" s="303" t="s">
        <v>92</v>
      </c>
      <c r="V28" s="323">
        <v>-7</v>
      </c>
      <c r="X28" s="308">
        <v>0</v>
      </c>
      <c r="Y28" s="309">
        <v>0</v>
      </c>
      <c r="Z28" s="309">
        <v>0</v>
      </c>
      <c r="AA28" s="303"/>
      <c r="AC28" s="323"/>
      <c r="AD28" s="5"/>
      <c r="AE28" s="308">
        <v>0</v>
      </c>
      <c r="AF28" s="309">
        <v>0</v>
      </c>
      <c r="AG28" s="309"/>
      <c r="AH28" s="111"/>
      <c r="AI28" s="5"/>
      <c r="AJ28" s="531"/>
      <c r="AL28" s="403"/>
      <c r="AM28" s="309"/>
      <c r="AN28" s="309"/>
      <c r="AO28" s="323">
        <f t="shared" si="1"/>
        <v>0</v>
      </c>
      <c r="AQ28" s="541"/>
      <c r="AS28" s="308"/>
      <c r="AT28" s="309"/>
      <c r="AU28" s="309"/>
      <c r="AV28" s="323">
        <f t="shared" si="2"/>
        <v>0</v>
      </c>
      <c r="AX28" s="323"/>
      <c r="AZ28" s="308"/>
      <c r="BA28" s="309"/>
      <c r="BB28" s="309"/>
      <c r="BC28" s="323"/>
      <c r="BE28" s="323"/>
    </row>
    <row r="29" spans="1:195" ht="16.350000000000001" customHeight="1" collapsed="1">
      <c r="A29" s="318" t="s">
        <v>279</v>
      </c>
      <c r="B29" s="367" t="s">
        <v>281</v>
      </c>
      <c r="C29" s="308">
        <f>SUM(C17:C28)-C21</f>
        <v>16.5</v>
      </c>
      <c r="D29" s="309">
        <f t="shared" ref="D29:F29" si="11">SUM(D17:D28)-D21</f>
        <v>-121</v>
      </c>
      <c r="E29" s="309">
        <f t="shared" si="11"/>
        <v>-4.4000000000000057</v>
      </c>
      <c r="F29" s="303">
        <f t="shared" si="11"/>
        <v>-73.199999999999989</v>
      </c>
      <c r="H29" s="306">
        <f>SUM(H17:H28)-H21</f>
        <v>-182.09999999999997</v>
      </c>
      <c r="J29" s="308">
        <f>SUM(J17:J28)-J21</f>
        <v>-143.99999999999997</v>
      </c>
      <c r="K29" s="309">
        <f t="shared" ref="K29" si="12">SUM(K17:K28)-K21</f>
        <v>-46.599999999999994</v>
      </c>
      <c r="L29" s="309">
        <f t="shared" ref="L29" si="13">SUM(L17:L28)-L21</f>
        <v>-40.700000000000017</v>
      </c>
      <c r="M29" s="303">
        <f t="shared" ref="M29" si="14">SUM(M17:M28)-M21</f>
        <v>14.599999999999994</v>
      </c>
      <c r="O29" s="310">
        <f>SUM(O17:O28)-O21</f>
        <v>-216.69999999999993</v>
      </c>
      <c r="P29" s="5"/>
      <c r="Q29" s="308">
        <f>SUM(Q17:Q28)-Q21</f>
        <v>-65.8</v>
      </c>
      <c r="R29" s="309">
        <f t="shared" ref="R29" si="15">SUM(R17:R28)-R21</f>
        <v>27.700000000000003</v>
      </c>
      <c r="S29" s="309">
        <f t="shared" ref="S29" si="16">SUM(S17:S28)-S21</f>
        <v>5.6000000000000227</v>
      </c>
      <c r="T29" s="303" t="s">
        <v>92</v>
      </c>
      <c r="V29" s="323">
        <f>SUM(V17:V28)-V21</f>
        <v>-64.299999999999983</v>
      </c>
      <c r="X29" s="308">
        <f>SUM(X17:X28)-X21</f>
        <v>-29.399999999999991</v>
      </c>
      <c r="Y29" s="309">
        <f t="shared" ref="Y29" si="17">SUM(Y17:Y28)-Y21</f>
        <v>-2.9999999999999858</v>
      </c>
      <c r="Z29" s="309">
        <f t="shared" ref="Z29" si="18">SUM(Z17:Z28)-Z21</f>
        <v>9.2999999999999989</v>
      </c>
      <c r="AA29" s="303">
        <f>AC29-Z29-Y29-X29</f>
        <v>-25.40000000000002</v>
      </c>
      <c r="AC29" s="323">
        <v>-48.5</v>
      </c>
      <c r="AD29" s="5"/>
      <c r="AE29" s="308">
        <f>SUM(AE17:AE28)-AE21</f>
        <v>6.5</v>
      </c>
      <c r="AF29" s="309">
        <f t="shared" ref="AF29" si="19">SUM(AF17:AF28)-AF21</f>
        <v>56.400000000000006</v>
      </c>
      <c r="AG29" s="309">
        <f t="shared" ref="AG29" si="20">SUM(AG17:AG28)-AG21</f>
        <v>11.5</v>
      </c>
      <c r="AH29" s="111">
        <f>AJ29-AG29-AF29-AE29</f>
        <v>19.299999999999983</v>
      </c>
      <c r="AI29" s="5"/>
      <c r="AJ29" s="531">
        <v>93.699999999999989</v>
      </c>
      <c r="AL29" s="403">
        <v>21.1</v>
      </c>
      <c r="AM29" s="309">
        <v>25.900000000000006</v>
      </c>
      <c r="AN29" s="309">
        <v>28.800000000000011</v>
      </c>
      <c r="AO29" s="323">
        <f t="shared" si="1"/>
        <v>-29.800000000000011</v>
      </c>
      <c r="AQ29" s="541">
        <v>46</v>
      </c>
      <c r="AS29" s="308">
        <v>9.5</v>
      </c>
      <c r="AT29" s="309">
        <v>7.8</v>
      </c>
      <c r="AU29" s="309">
        <v>8.9000000000000021</v>
      </c>
      <c r="AV29" s="323">
        <f t="shared" si="2"/>
        <v>-16.700000000000003</v>
      </c>
      <c r="AX29" s="323">
        <v>9.5</v>
      </c>
      <c r="AZ29" s="308">
        <v>17.899999999999999</v>
      </c>
      <c r="BA29" s="309">
        <v>44.400000000000006</v>
      </c>
      <c r="BB29" s="309">
        <v>8.4000000000000092</v>
      </c>
      <c r="BC29" s="323"/>
      <c r="BE29" s="323"/>
    </row>
    <row r="30" spans="1:195" s="60" customFormat="1" ht="20.100000000000001" customHeight="1" thickBot="1">
      <c r="A30" s="350" t="s">
        <v>188</v>
      </c>
      <c r="B30" s="351" t="s">
        <v>189</v>
      </c>
      <c r="C30" s="346">
        <v>-64.599999999999994</v>
      </c>
      <c r="D30" s="347">
        <v>-171.70000000000002</v>
      </c>
      <c r="E30" s="348">
        <v>-140.69999999999999</v>
      </c>
      <c r="F30" s="349">
        <v>-243.79999999999995</v>
      </c>
      <c r="G30"/>
      <c r="H30" s="218">
        <v>-620.79999999999995</v>
      </c>
      <c r="I30"/>
      <c r="J30" s="346">
        <v>-261.39999999999998</v>
      </c>
      <c r="K30" s="347">
        <v>-193.30000000000007</v>
      </c>
      <c r="L30" s="348">
        <v>-146.39999999999998</v>
      </c>
      <c r="M30" s="349">
        <f t="shared" si="0"/>
        <v>-112.49999999999989</v>
      </c>
      <c r="N30"/>
      <c r="O30" s="225">
        <f>SUM(O17:O28)</f>
        <v>-713.59999999999991</v>
      </c>
      <c r="P30" s="5"/>
      <c r="Q30" s="346">
        <v>-101</v>
      </c>
      <c r="R30" s="347">
        <v>30.5</v>
      </c>
      <c r="S30" s="348">
        <v>-164</v>
      </c>
      <c r="T30" s="349" t="s">
        <v>92</v>
      </c>
      <c r="U30"/>
      <c r="V30" s="326">
        <v>-261.8</v>
      </c>
      <c r="W30"/>
      <c r="X30" s="346">
        <v>-73.199999999999989</v>
      </c>
      <c r="Y30" s="347">
        <f>-189.4-X30</f>
        <v>-116.20000000000002</v>
      </c>
      <c r="Z30" s="348">
        <f>-203-Y30-X30</f>
        <v>-13.599999999999994</v>
      </c>
      <c r="AA30" s="349">
        <f>AC30-Z30-Y30-X30</f>
        <v>-40</v>
      </c>
      <c r="AB30" s="122"/>
      <c r="AC30" s="326">
        <v>-243</v>
      </c>
      <c r="AD30" s="5"/>
      <c r="AE30" s="346">
        <v>-35.700000000000003</v>
      </c>
      <c r="AF30" s="347">
        <f>-66.4-AE30</f>
        <v>-30.700000000000003</v>
      </c>
      <c r="AG30" s="348">
        <f>-152-AF30-AE30</f>
        <v>-85.6</v>
      </c>
      <c r="AH30" s="533">
        <f>AJ30-AG30-AF30-AE30</f>
        <v>-67.199999999999989</v>
      </c>
      <c r="AI30" s="5"/>
      <c r="AJ30" s="535">
        <v>-219.2</v>
      </c>
      <c r="AK30"/>
      <c r="AL30" s="405">
        <v>-55.4</v>
      </c>
      <c r="AM30" s="347">
        <v>-143.6</v>
      </c>
      <c r="AN30" s="348">
        <v>-97.300000000000011</v>
      </c>
      <c r="AO30" s="326">
        <f t="shared" si="1"/>
        <v>-112.80000000000001</v>
      </c>
      <c r="AP30"/>
      <c r="AQ30" s="535">
        <v>-409.1</v>
      </c>
      <c r="AR30"/>
      <c r="AS30" s="346">
        <v>-99.6</v>
      </c>
      <c r="AT30" s="347">
        <v>-92</v>
      </c>
      <c r="AU30" s="348">
        <v>-46.300000000000011</v>
      </c>
      <c r="AV30" s="326">
        <f t="shared" si="2"/>
        <v>-77.700000000000017</v>
      </c>
      <c r="AW30"/>
      <c r="AX30" s="326">
        <v>-315.60000000000002</v>
      </c>
      <c r="AY30"/>
      <c r="AZ30" s="346">
        <v>-61.800000000000004</v>
      </c>
      <c r="BA30" s="347">
        <v>-53.4</v>
      </c>
      <c r="BB30" s="348">
        <v>-130.79999999999995</v>
      </c>
      <c r="BC30" s="326"/>
      <c r="BD30"/>
      <c r="BE30" s="326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</row>
    <row r="31" spans="1:195" ht="16.350000000000001" customHeight="1" thickTop="1">
      <c r="A31" s="116" t="s">
        <v>190</v>
      </c>
      <c r="B31" s="211" t="s">
        <v>191</v>
      </c>
      <c r="C31" s="308">
        <v>49.7</v>
      </c>
      <c r="D31" s="309">
        <v>260.2</v>
      </c>
      <c r="E31" s="307">
        <v>-82.099999999999966</v>
      </c>
      <c r="F31" s="303">
        <v>49.300000000000011</v>
      </c>
      <c r="H31" s="306">
        <v>277.10000000000002</v>
      </c>
      <c r="J31" s="308">
        <v>499.7</v>
      </c>
      <c r="K31" s="309">
        <v>-4.5</v>
      </c>
      <c r="L31" s="307">
        <v>138.00000000000006</v>
      </c>
      <c r="M31" s="303">
        <f t="shared" si="0"/>
        <v>-63.600000000000023</v>
      </c>
      <c r="O31" s="310">
        <v>569.6</v>
      </c>
      <c r="P31" s="5"/>
      <c r="Q31" s="308">
        <v>151.9</v>
      </c>
      <c r="R31" s="309">
        <v>-67</v>
      </c>
      <c r="S31" s="307">
        <v>-25.600000000000009</v>
      </c>
      <c r="T31" s="303" t="s">
        <v>92</v>
      </c>
      <c r="V31" s="323">
        <v>252.1</v>
      </c>
      <c r="X31" s="308">
        <v>82.7</v>
      </c>
      <c r="Y31" s="309">
        <f>2.1-X31</f>
        <v>-80.600000000000009</v>
      </c>
      <c r="Z31" s="307">
        <f>2.1-Y31-X31</f>
        <v>0</v>
      </c>
      <c r="AA31" s="303">
        <f>AC31-X31-Y31-Z31</f>
        <v>250</v>
      </c>
      <c r="AC31" s="323">
        <v>252.1</v>
      </c>
      <c r="AD31" s="5"/>
      <c r="AE31" s="308">
        <v>71.2</v>
      </c>
      <c r="AF31" s="309">
        <f>919.8-AE31</f>
        <v>848.59999999999991</v>
      </c>
      <c r="AG31" s="307">
        <f>839.5-AF31-AE31</f>
        <v>-80.299999999999912</v>
      </c>
      <c r="AH31" s="111">
        <f>AJ31-AE31-AF31-AG31</f>
        <v>99.799999999999912</v>
      </c>
      <c r="AI31" s="5"/>
      <c r="AJ31" s="531">
        <v>939.3</v>
      </c>
      <c r="AL31" s="403">
        <v>0</v>
      </c>
      <c r="AM31" s="309">
        <v>67.400000000000006</v>
      </c>
      <c r="AN31" s="307">
        <v>-11.700000000000003</v>
      </c>
      <c r="AO31" s="323">
        <f t="shared" si="1"/>
        <v>-0.60000000000000142</v>
      </c>
      <c r="AQ31" s="541">
        <v>55.1</v>
      </c>
      <c r="AS31" s="308">
        <v>23.5</v>
      </c>
      <c r="AT31" s="309">
        <v>5.8</v>
      </c>
      <c r="AU31" s="307">
        <v>91.600000000000009</v>
      </c>
      <c r="AV31" s="323">
        <f t="shared" si="2"/>
        <v>-21.100000000000009</v>
      </c>
      <c r="AX31" s="323">
        <v>99.8</v>
      </c>
      <c r="AZ31" s="308">
        <v>165</v>
      </c>
      <c r="BA31" s="309">
        <v>120.1</v>
      </c>
      <c r="BB31" s="307">
        <v>-108.20000000000002</v>
      </c>
      <c r="BC31" s="323"/>
      <c r="BE31" s="323"/>
    </row>
    <row r="32" spans="1:195" ht="16.350000000000001" customHeight="1">
      <c r="A32" s="117" t="s">
        <v>192</v>
      </c>
      <c r="B32" s="212" t="s">
        <v>193</v>
      </c>
      <c r="C32" s="319">
        <v>0</v>
      </c>
      <c r="D32" s="320">
        <v>209.4</v>
      </c>
      <c r="E32" s="309">
        <v>0</v>
      </c>
      <c r="F32" s="303">
        <v>0.59999999999999432</v>
      </c>
      <c r="H32" s="306">
        <v>210</v>
      </c>
      <c r="J32" s="319">
        <v>0</v>
      </c>
      <c r="K32" s="320">
        <v>0</v>
      </c>
      <c r="L32" s="309">
        <v>0</v>
      </c>
      <c r="M32" s="303">
        <f t="shared" si="0"/>
        <v>0</v>
      </c>
      <c r="O32" s="310">
        <v>0</v>
      </c>
      <c r="P32" s="5"/>
      <c r="Q32" s="319">
        <v>0</v>
      </c>
      <c r="R32" s="320">
        <v>0</v>
      </c>
      <c r="S32" s="309">
        <v>0</v>
      </c>
      <c r="T32" s="303" t="s">
        <v>92</v>
      </c>
      <c r="V32" s="323">
        <v>0</v>
      </c>
      <c r="X32" s="319">
        <v>0</v>
      </c>
      <c r="Y32" s="320">
        <v>0</v>
      </c>
      <c r="Z32" s="309">
        <v>0</v>
      </c>
      <c r="AA32" s="303"/>
      <c r="AC32" s="323">
        <v>0</v>
      </c>
      <c r="AD32" s="5"/>
      <c r="AE32" s="319">
        <v>0</v>
      </c>
      <c r="AF32" s="320">
        <v>0</v>
      </c>
      <c r="AG32" s="309">
        <v>860</v>
      </c>
      <c r="AH32" s="111">
        <v>0</v>
      </c>
      <c r="AI32" s="5"/>
      <c r="AJ32" s="531">
        <v>860</v>
      </c>
      <c r="AL32" s="406">
        <v>0</v>
      </c>
      <c r="AM32" s="320">
        <v>0</v>
      </c>
      <c r="AN32" s="309">
        <v>0</v>
      </c>
      <c r="AO32" s="323">
        <f t="shared" si="1"/>
        <v>0</v>
      </c>
      <c r="AQ32" s="541">
        <v>0</v>
      </c>
      <c r="AS32" s="319">
        <v>0</v>
      </c>
      <c r="AT32" s="320">
        <v>0</v>
      </c>
      <c r="AU32" s="309">
        <v>0</v>
      </c>
      <c r="AV32" s="323">
        <f t="shared" si="2"/>
        <v>0</v>
      </c>
      <c r="AX32" s="323">
        <v>0</v>
      </c>
      <c r="AZ32" s="319"/>
      <c r="BA32" s="320"/>
      <c r="BB32" s="309"/>
      <c r="BC32" s="323"/>
      <c r="BE32" s="323"/>
    </row>
    <row r="33" spans="1:195" ht="16.350000000000001" hidden="1" customHeight="1" outlineLevel="1">
      <c r="A33" s="117" t="s">
        <v>194</v>
      </c>
      <c r="B33" s="212" t="s">
        <v>195</v>
      </c>
      <c r="C33" s="319">
        <v>0</v>
      </c>
      <c r="D33" s="309">
        <v>-209.3</v>
      </c>
      <c r="E33" s="309">
        <v>209.3</v>
      </c>
      <c r="F33" s="303">
        <v>-203</v>
      </c>
      <c r="H33" s="306">
        <v>-203</v>
      </c>
      <c r="J33" s="319">
        <v>0</v>
      </c>
      <c r="K33" s="309">
        <v>-6.8</v>
      </c>
      <c r="L33" s="309">
        <v>-0.10000000000000053</v>
      </c>
      <c r="M33" s="303">
        <f t="shared" si="0"/>
        <v>0</v>
      </c>
      <c r="O33" s="310">
        <v>-6.9</v>
      </c>
      <c r="P33" s="5"/>
      <c r="Q33" s="319">
        <v>0</v>
      </c>
      <c r="R33" s="309">
        <v>0</v>
      </c>
      <c r="S33" s="309">
        <v>0</v>
      </c>
      <c r="T33" s="303" t="s">
        <v>92</v>
      </c>
      <c r="V33" s="323">
        <v>0</v>
      </c>
      <c r="X33" s="319">
        <v>0</v>
      </c>
      <c r="Y33" s="309">
        <v>0</v>
      </c>
      <c r="Z33" s="309">
        <v>0</v>
      </c>
      <c r="AA33" s="303"/>
      <c r="AC33" s="323"/>
      <c r="AD33" s="5"/>
      <c r="AE33" s="319">
        <v>0</v>
      </c>
      <c r="AF33" s="309">
        <v>0</v>
      </c>
      <c r="AG33" s="309"/>
      <c r="AH33" s="111"/>
      <c r="AI33" s="5"/>
      <c r="AJ33" s="531"/>
      <c r="AL33" s="406"/>
      <c r="AM33" s="309"/>
      <c r="AN33" s="309"/>
      <c r="AO33" s="323">
        <f t="shared" si="1"/>
        <v>0</v>
      </c>
      <c r="AQ33" s="541"/>
      <c r="AS33" s="319"/>
      <c r="AT33" s="309"/>
      <c r="AU33" s="309"/>
      <c r="AV33" s="323">
        <f t="shared" si="2"/>
        <v>0</v>
      </c>
      <c r="AX33" s="323"/>
      <c r="AZ33" s="319"/>
      <c r="BA33" s="309"/>
      <c r="BB33" s="309"/>
      <c r="BC33" s="323"/>
      <c r="BE33" s="323"/>
    </row>
    <row r="34" spans="1:195" ht="16.350000000000001" hidden="1" customHeight="1" outlineLevel="1">
      <c r="A34" s="117" t="s">
        <v>196</v>
      </c>
      <c r="B34" s="212" t="s">
        <v>197</v>
      </c>
      <c r="C34" s="319">
        <v>0</v>
      </c>
      <c r="D34" s="320">
        <v>0</v>
      </c>
      <c r="E34" s="309">
        <v>0</v>
      </c>
      <c r="F34" s="303">
        <v>-94.7</v>
      </c>
      <c r="H34" s="306">
        <v>-94.7</v>
      </c>
      <c r="J34" s="319">
        <v>0</v>
      </c>
      <c r="K34" s="320">
        <v>0</v>
      </c>
      <c r="L34" s="309">
        <v>-4.2</v>
      </c>
      <c r="M34" s="303">
        <f t="shared" si="0"/>
        <v>-19.7</v>
      </c>
      <c r="O34" s="310">
        <v>-23.9</v>
      </c>
      <c r="P34" s="5"/>
      <c r="Q34" s="319">
        <v>0</v>
      </c>
      <c r="R34" s="320">
        <v>0</v>
      </c>
      <c r="S34" s="309">
        <v>0</v>
      </c>
      <c r="T34" s="303" t="s">
        <v>92</v>
      </c>
      <c r="V34" s="323">
        <v>0</v>
      </c>
      <c r="X34" s="319">
        <v>0</v>
      </c>
      <c r="Y34" s="320">
        <v>0</v>
      </c>
      <c r="Z34" s="309">
        <v>0</v>
      </c>
      <c r="AA34" s="303"/>
      <c r="AC34" s="323"/>
      <c r="AD34" s="5"/>
      <c r="AE34" s="319">
        <v>-10.5</v>
      </c>
      <c r="AF34" s="320">
        <f>-10.2-AE34</f>
        <v>0.30000000000000071</v>
      </c>
      <c r="AG34" s="309">
        <f>-10.2-AF34-AE34</f>
        <v>0</v>
      </c>
      <c r="AH34" s="111"/>
      <c r="AI34" s="5"/>
      <c r="AJ34" s="531"/>
      <c r="AL34" s="406"/>
      <c r="AM34" s="320"/>
      <c r="AN34" s="309"/>
      <c r="AO34" s="323">
        <f t="shared" si="1"/>
        <v>0</v>
      </c>
      <c r="AQ34" s="541"/>
      <c r="AS34" s="319"/>
      <c r="AT34" s="320"/>
      <c r="AU34" s="309"/>
      <c r="AV34" s="323">
        <f t="shared" si="2"/>
        <v>0</v>
      </c>
      <c r="AX34" s="323"/>
      <c r="AZ34" s="319"/>
      <c r="BA34" s="320"/>
      <c r="BB34" s="309"/>
      <c r="BC34" s="323"/>
      <c r="BE34" s="323"/>
    </row>
    <row r="35" spans="1:195" ht="16.350000000000001" customHeight="1" collapsed="1">
      <c r="A35" s="117" t="s">
        <v>198</v>
      </c>
      <c r="B35" s="212" t="s">
        <v>199</v>
      </c>
      <c r="C35" s="308">
        <v>0</v>
      </c>
      <c r="D35" s="309">
        <v>0</v>
      </c>
      <c r="E35" s="307">
        <v>-209.3</v>
      </c>
      <c r="F35" s="303">
        <v>1.7000000000000171</v>
      </c>
      <c r="H35" s="306">
        <v>-207.6</v>
      </c>
      <c r="J35" s="308">
        <v>-75</v>
      </c>
      <c r="K35" s="309">
        <v>-0.10000000000000853</v>
      </c>
      <c r="L35" s="307">
        <v>0.10000000000000853</v>
      </c>
      <c r="M35" s="303">
        <f t="shared" si="0"/>
        <v>0</v>
      </c>
      <c r="O35" s="310">
        <v>-75</v>
      </c>
      <c r="P35" s="5"/>
      <c r="Q35" s="308">
        <v>0</v>
      </c>
      <c r="R35" s="309">
        <v>0</v>
      </c>
      <c r="S35" s="307">
        <v>0</v>
      </c>
      <c r="T35" s="303" t="s">
        <v>92</v>
      </c>
      <c r="V35" s="323">
        <v>-77.5</v>
      </c>
      <c r="X35" s="308">
        <v>0</v>
      </c>
      <c r="Y35" s="309">
        <v>-50.1</v>
      </c>
      <c r="Z35" s="307">
        <f>-156.5-Y35-X35</f>
        <v>-106.4</v>
      </c>
      <c r="AA35" s="303">
        <f>AC35-Z35-Y35-X35</f>
        <v>-27.599999999999987</v>
      </c>
      <c r="AC35" s="323">
        <v>-184.1</v>
      </c>
      <c r="AD35" s="5"/>
      <c r="AE35" s="308">
        <v>-38.4</v>
      </c>
      <c r="AF35" s="309">
        <f>-878.9-AE35</f>
        <v>-840.5</v>
      </c>
      <c r="AG35" s="307">
        <f>-920.1-AF35-AE35</f>
        <v>-41.200000000000024</v>
      </c>
      <c r="AH35" s="111">
        <f>AJ35-AG35-AF35-AE35</f>
        <v>-58.69999999999991</v>
      </c>
      <c r="AI35" s="5"/>
      <c r="AJ35" s="531">
        <v>-978.8</v>
      </c>
      <c r="AL35" s="403">
        <v>-66.3</v>
      </c>
      <c r="AM35" s="309">
        <v>38</v>
      </c>
      <c r="AN35" s="307">
        <v>-36</v>
      </c>
      <c r="AO35" s="323">
        <f t="shared" si="1"/>
        <v>-80.600000000000009</v>
      </c>
      <c r="AQ35" s="541">
        <v>-144.9</v>
      </c>
      <c r="AS35" s="308">
        <v>-317</v>
      </c>
      <c r="AT35" s="309">
        <v>-170.9</v>
      </c>
      <c r="AU35" s="307">
        <v>-53.100000000000023</v>
      </c>
      <c r="AV35" s="323">
        <f t="shared" si="2"/>
        <v>-59.100000000000023</v>
      </c>
      <c r="AX35" s="323">
        <v>-600.1</v>
      </c>
      <c r="AZ35" s="308">
        <v>-76.3</v>
      </c>
      <c r="BA35" s="309">
        <v>48.3</v>
      </c>
      <c r="BB35" s="307">
        <v>-42.599999999999994</v>
      </c>
      <c r="BC35" s="323"/>
      <c r="BE35" s="323"/>
    </row>
    <row r="36" spans="1:195" ht="16.350000000000001" customHeight="1">
      <c r="A36" s="117" t="s">
        <v>200</v>
      </c>
      <c r="B36" s="321" t="s">
        <v>255</v>
      </c>
      <c r="C36" s="308">
        <v>-113.4</v>
      </c>
      <c r="D36" s="309">
        <v>-88</v>
      </c>
      <c r="E36" s="307">
        <v>-140.1</v>
      </c>
      <c r="F36" s="303">
        <v>-94.399999999999977</v>
      </c>
      <c r="H36" s="306">
        <v>-435.9</v>
      </c>
      <c r="J36" s="308">
        <v>-117.5</v>
      </c>
      <c r="K36" s="309">
        <v>-124.4</v>
      </c>
      <c r="L36" s="307">
        <v>-122.79999999999998</v>
      </c>
      <c r="M36" s="303">
        <f t="shared" si="0"/>
        <v>-126.90000000000003</v>
      </c>
      <c r="O36" s="310">
        <v>-491.6</v>
      </c>
      <c r="P36" s="5"/>
      <c r="Q36" s="308">
        <v>-69</v>
      </c>
      <c r="R36" s="309">
        <v>-129.4</v>
      </c>
      <c r="S36" s="307">
        <v>-104.79999999999998</v>
      </c>
      <c r="T36" s="303" t="s">
        <v>92</v>
      </c>
      <c r="V36" s="323">
        <v>-360.5</v>
      </c>
      <c r="X36" s="308">
        <v>-51.1</v>
      </c>
      <c r="Y36" s="309">
        <f>-187.1-X36</f>
        <v>-136</v>
      </c>
      <c r="Z36" s="307">
        <f>-301.6-Y36-X36</f>
        <v>-114.50000000000003</v>
      </c>
      <c r="AA36" s="303">
        <f>AC36-Z36-Y36-X36</f>
        <v>-61.999999999999993</v>
      </c>
      <c r="AC36" s="323">
        <v>-363.6</v>
      </c>
      <c r="AD36" s="5"/>
      <c r="AE36" s="308">
        <v>-84.4</v>
      </c>
      <c r="AF36" s="309">
        <f>-172.7-AE36</f>
        <v>-88.299999999999983</v>
      </c>
      <c r="AG36" s="307">
        <f>-267.5-AF36-AE36</f>
        <v>-94.800000000000011</v>
      </c>
      <c r="AH36" s="111">
        <f>AJ36-AG36-AF36-AE36</f>
        <v>-78.5</v>
      </c>
      <c r="AI36" s="5"/>
      <c r="AJ36" s="531">
        <v>-346</v>
      </c>
      <c r="AL36" s="403">
        <v>-155.5</v>
      </c>
      <c r="AM36" s="309">
        <v>-61.699999999999989</v>
      </c>
      <c r="AN36" s="307">
        <v>-106.90000000000003</v>
      </c>
      <c r="AO36" s="323">
        <f t="shared" si="1"/>
        <v>-86.5</v>
      </c>
      <c r="AQ36" s="541">
        <v>-410.6</v>
      </c>
      <c r="AS36" s="308">
        <v>-99.3</v>
      </c>
      <c r="AT36" s="309">
        <v>-101.1</v>
      </c>
      <c r="AU36" s="307">
        <v>-91.6</v>
      </c>
      <c r="AV36" s="323">
        <f t="shared" si="2"/>
        <v>-105.60000000000002</v>
      </c>
      <c r="AX36" s="323">
        <v>-397.6</v>
      </c>
      <c r="AZ36" s="308">
        <v>-94.9</v>
      </c>
      <c r="BA36" s="309">
        <v>-98.9</v>
      </c>
      <c r="BB36" s="307">
        <v>-80.399999999999977</v>
      </c>
      <c r="BC36" s="323"/>
      <c r="BE36" s="323"/>
    </row>
    <row r="37" spans="1:195" ht="16.350000000000001" hidden="1" customHeight="1">
      <c r="A37" s="117" t="s">
        <v>201</v>
      </c>
      <c r="B37" s="321" t="s">
        <v>256</v>
      </c>
      <c r="C37" s="308">
        <v>-5.6</v>
      </c>
      <c r="D37" s="309">
        <v>-23.700000000000003</v>
      </c>
      <c r="E37" s="307">
        <v>-17.499999999999996</v>
      </c>
      <c r="F37" s="303">
        <v>-13.900000000000006</v>
      </c>
      <c r="H37" s="306">
        <v>-60.7</v>
      </c>
      <c r="J37" s="308">
        <v>-13.6</v>
      </c>
      <c r="K37" s="309">
        <v>-22</v>
      </c>
      <c r="L37" s="307">
        <v>-19.299999999999997</v>
      </c>
      <c r="M37" s="303">
        <f t="shared" si="0"/>
        <v>-22.000000000000007</v>
      </c>
      <c r="O37" s="310">
        <v>-76.900000000000006</v>
      </c>
      <c r="P37" s="5"/>
      <c r="Q37" s="308">
        <v>-14.7</v>
      </c>
      <c r="R37" s="309">
        <v>-14.5</v>
      </c>
      <c r="S37" s="307">
        <v>-19.099999999999998</v>
      </c>
      <c r="T37" s="303" t="s">
        <v>92</v>
      </c>
      <c r="V37" s="323">
        <v>-78.3</v>
      </c>
      <c r="X37" s="308">
        <v>-11</v>
      </c>
      <c r="Y37" s="309">
        <f>-38.3-X37</f>
        <v>-27.299999999999997</v>
      </c>
      <c r="Z37" s="307">
        <f>-53.4-Y37-X37</f>
        <v>-15.100000000000001</v>
      </c>
      <c r="AA37" s="303"/>
      <c r="AC37" s="323"/>
      <c r="AD37" s="5"/>
      <c r="AE37" s="308">
        <v>-15.1</v>
      </c>
      <c r="AF37" s="309">
        <f>-41.8-AE37</f>
        <v>-26.699999999999996</v>
      </c>
      <c r="AG37" s="307">
        <f>-79-AF37-AE37</f>
        <v>-37.200000000000003</v>
      </c>
      <c r="AH37" s="111"/>
      <c r="AI37" s="5"/>
      <c r="AJ37" s="531"/>
      <c r="AL37" s="403"/>
      <c r="AM37" s="309"/>
      <c r="AN37" s="307"/>
      <c r="AO37" s="323">
        <f t="shared" si="1"/>
        <v>0</v>
      </c>
      <c r="AQ37" s="541"/>
      <c r="AS37" s="308"/>
      <c r="AT37" s="309"/>
      <c r="AU37" s="307"/>
      <c r="AV37" s="323">
        <f t="shared" si="2"/>
        <v>0</v>
      </c>
      <c r="AX37" s="323"/>
      <c r="AZ37" s="308"/>
      <c r="BA37" s="309"/>
      <c r="BB37" s="307"/>
      <c r="BC37" s="323"/>
      <c r="BE37" s="323"/>
    </row>
    <row r="38" spans="1:195" ht="16.350000000000001" customHeight="1">
      <c r="A38" s="341" t="s">
        <v>261</v>
      </c>
      <c r="B38" s="342" t="s">
        <v>257</v>
      </c>
      <c r="C38" s="308"/>
      <c r="D38" s="309"/>
      <c r="E38" s="307"/>
      <c r="F38" s="303"/>
      <c r="H38" s="306"/>
      <c r="J38" s="308"/>
      <c r="K38" s="309"/>
      <c r="L38" s="307"/>
      <c r="M38" s="303"/>
      <c r="O38" s="310"/>
      <c r="P38" s="5"/>
      <c r="Q38" s="308"/>
      <c r="R38" s="309">
        <v>506.9</v>
      </c>
      <c r="S38" s="307">
        <v>0</v>
      </c>
      <c r="T38" s="303" t="s">
        <v>92</v>
      </c>
      <c r="V38" s="323">
        <v>506.9</v>
      </c>
      <c r="X38" s="308">
        <v>0</v>
      </c>
      <c r="Y38" s="309">
        <v>506.9</v>
      </c>
      <c r="Z38" s="307">
        <f>506.9-Y38-X38</f>
        <v>0</v>
      </c>
      <c r="AA38" s="303"/>
      <c r="AC38" s="323"/>
      <c r="AD38" s="5"/>
      <c r="AE38" s="308">
        <v>0</v>
      </c>
      <c r="AF38" s="309">
        <v>0</v>
      </c>
      <c r="AG38" s="307"/>
      <c r="AH38" s="111"/>
      <c r="AI38" s="5"/>
      <c r="AJ38" s="531"/>
      <c r="AL38" s="403"/>
      <c r="AM38" s="309"/>
      <c r="AN38" s="307"/>
      <c r="AO38" s="323">
        <f t="shared" si="1"/>
        <v>0</v>
      </c>
      <c r="AQ38" s="541"/>
      <c r="AS38" s="308">
        <v>212.3</v>
      </c>
      <c r="AT38" s="309">
        <v>289.3</v>
      </c>
      <c r="AU38" s="307">
        <v>0</v>
      </c>
      <c r="AV38" s="323">
        <f t="shared" si="2"/>
        <v>0</v>
      </c>
      <c r="AX38" s="323">
        <v>501.6</v>
      </c>
      <c r="AZ38" s="308">
        <v>0</v>
      </c>
      <c r="BA38" s="309"/>
      <c r="BB38" s="307"/>
      <c r="BC38" s="323"/>
      <c r="BE38" s="323"/>
    </row>
    <row r="39" spans="1:195" ht="16.350000000000001" hidden="1" customHeight="1">
      <c r="A39" s="341" t="s">
        <v>262</v>
      </c>
      <c r="B39" s="321" t="s">
        <v>258</v>
      </c>
      <c r="C39" s="308"/>
      <c r="D39" s="309"/>
      <c r="E39" s="307"/>
      <c r="F39" s="303"/>
      <c r="H39" s="306"/>
      <c r="J39" s="308"/>
      <c r="K39" s="309"/>
      <c r="L39" s="307"/>
      <c r="M39" s="303"/>
      <c r="O39" s="310"/>
      <c r="P39" s="5"/>
      <c r="Q39" s="308"/>
      <c r="R39" s="309">
        <v>-2.6</v>
      </c>
      <c r="S39" s="307">
        <v>0</v>
      </c>
      <c r="T39" s="303" t="s">
        <v>92</v>
      </c>
      <c r="V39" s="323">
        <v>-2.7</v>
      </c>
      <c r="X39" s="308">
        <v>0</v>
      </c>
      <c r="Y39" s="309">
        <v>-2.7</v>
      </c>
      <c r="Z39" s="307">
        <f>-2.6-Y39-X39</f>
        <v>0.10000000000000009</v>
      </c>
      <c r="AA39" s="303"/>
      <c r="AC39" s="323"/>
      <c r="AD39" s="5"/>
      <c r="AE39" s="308">
        <v>0</v>
      </c>
      <c r="AF39" s="309"/>
      <c r="AG39" s="307"/>
      <c r="AH39" s="111"/>
      <c r="AI39" s="5"/>
      <c r="AJ39" s="531"/>
      <c r="AL39" s="403"/>
      <c r="AM39" s="309"/>
      <c r="AN39" s="307"/>
      <c r="AO39" s="323">
        <f t="shared" si="1"/>
        <v>0</v>
      </c>
      <c r="AQ39" s="541"/>
      <c r="AS39" s="308"/>
      <c r="AT39" s="309"/>
      <c r="AU39" s="307"/>
      <c r="AV39" s="323">
        <f t="shared" si="2"/>
        <v>0</v>
      </c>
      <c r="AX39" s="323"/>
      <c r="AZ39" s="308"/>
      <c r="BA39" s="309"/>
      <c r="BB39" s="307"/>
      <c r="BC39" s="323"/>
      <c r="BE39" s="323"/>
    </row>
    <row r="40" spans="1:195" ht="16.350000000000001" hidden="1" customHeight="1">
      <c r="A40" s="343" t="s">
        <v>260</v>
      </c>
      <c r="B40" s="342" t="s">
        <v>247</v>
      </c>
      <c r="C40" s="308"/>
      <c r="D40" s="309"/>
      <c r="E40" s="307"/>
      <c r="F40" s="303"/>
      <c r="H40" s="306"/>
      <c r="J40" s="308"/>
      <c r="K40" s="309"/>
      <c r="L40" s="307"/>
      <c r="M40" s="303"/>
      <c r="O40" s="310"/>
      <c r="P40" s="5"/>
      <c r="Q40" s="308"/>
      <c r="R40" s="309"/>
      <c r="S40" s="307"/>
      <c r="T40" s="303"/>
      <c r="V40" s="323"/>
      <c r="X40" s="308">
        <v>0</v>
      </c>
      <c r="Y40" s="309">
        <v>0</v>
      </c>
      <c r="Z40" s="307">
        <v>0</v>
      </c>
      <c r="AA40" s="303"/>
      <c r="AC40" s="323"/>
      <c r="AD40" s="5"/>
      <c r="AE40" s="308">
        <v>0</v>
      </c>
      <c r="AF40" s="309">
        <v>-360</v>
      </c>
      <c r="AG40" s="307">
        <f>-720-AF40</f>
        <v>-360</v>
      </c>
      <c r="AH40" s="111"/>
      <c r="AI40" s="5"/>
      <c r="AJ40" s="531"/>
      <c r="AL40" s="403"/>
      <c r="AM40" s="309"/>
      <c r="AN40" s="307"/>
      <c r="AO40" s="323">
        <f t="shared" si="1"/>
        <v>0</v>
      </c>
      <c r="AQ40" s="541"/>
      <c r="AS40" s="308"/>
      <c r="AT40" s="309"/>
      <c r="AU40" s="307"/>
      <c r="AV40" s="323">
        <f t="shared" si="2"/>
        <v>0</v>
      </c>
      <c r="AX40" s="323"/>
      <c r="AZ40" s="308"/>
      <c r="BA40" s="309"/>
      <c r="BB40" s="307"/>
      <c r="BC40" s="323"/>
      <c r="BE40" s="323"/>
    </row>
    <row r="41" spans="1:195" ht="28.8" hidden="1">
      <c r="A41" s="343" t="s">
        <v>259</v>
      </c>
      <c r="B41" s="342" t="s">
        <v>247</v>
      </c>
      <c r="C41" s="308"/>
      <c r="D41" s="309"/>
      <c r="E41" s="307"/>
      <c r="F41" s="303"/>
      <c r="H41" s="306"/>
      <c r="J41" s="308"/>
      <c r="K41" s="309"/>
      <c r="L41" s="307"/>
      <c r="M41" s="303"/>
      <c r="O41" s="310"/>
      <c r="P41" s="5"/>
      <c r="Q41" s="308"/>
      <c r="R41" s="309"/>
      <c r="S41" s="307"/>
      <c r="T41" s="303"/>
      <c r="V41" s="323"/>
      <c r="X41" s="308">
        <v>0</v>
      </c>
      <c r="Y41" s="309">
        <v>0</v>
      </c>
      <c r="Z41" s="307">
        <v>0</v>
      </c>
      <c r="AA41" s="303"/>
      <c r="AC41" s="323"/>
      <c r="AD41" s="5"/>
      <c r="AE41" s="308">
        <v>0</v>
      </c>
      <c r="AF41" s="309">
        <v>1000</v>
      </c>
      <c r="AG41" s="307">
        <f>1000-AF41</f>
        <v>0</v>
      </c>
      <c r="AH41" s="111"/>
      <c r="AI41" s="5"/>
      <c r="AJ41" s="531"/>
      <c r="AL41" s="403"/>
      <c r="AM41" s="309"/>
      <c r="AN41" s="307"/>
      <c r="AO41" s="323">
        <f t="shared" si="1"/>
        <v>0</v>
      </c>
      <c r="AQ41" s="541"/>
      <c r="AS41" s="308"/>
      <c r="AT41" s="309"/>
      <c r="AU41" s="307"/>
      <c r="AV41" s="323">
        <f t="shared" si="2"/>
        <v>0</v>
      </c>
      <c r="AX41" s="323"/>
      <c r="AZ41" s="308"/>
      <c r="BA41" s="309"/>
      <c r="BB41" s="307"/>
      <c r="BC41" s="323"/>
      <c r="BE41" s="323"/>
    </row>
    <row r="42" spans="1:195" ht="16.350000000000001" customHeight="1">
      <c r="A42" s="318" t="s">
        <v>279</v>
      </c>
      <c r="B42" s="367" t="s">
        <v>281</v>
      </c>
      <c r="C42" s="308"/>
      <c r="D42" s="309"/>
      <c r="E42" s="309"/>
      <c r="F42" s="303"/>
      <c r="H42" s="306"/>
      <c r="J42" s="308">
        <f>SUM(J31:J41)-J31-J32-J35-J36</f>
        <v>-13.600000000000023</v>
      </c>
      <c r="K42" s="309">
        <f t="shared" ref="K42:O42" si="21">SUM(K31:K41)-K31-K32-K35-K36</f>
        <v>-28.799999999999983</v>
      </c>
      <c r="L42" s="309">
        <f t="shared" si="21"/>
        <v>-23.599999999999994</v>
      </c>
      <c r="M42" s="303">
        <f t="shared" si="21"/>
        <v>-41.699999999999989</v>
      </c>
      <c r="O42" s="310">
        <f t="shared" si="21"/>
        <v>-107.69999999999993</v>
      </c>
      <c r="P42" s="5"/>
      <c r="Q42" s="308">
        <f>SUM(Q31:Q41)-Q31-Q32-Q35-Q36</f>
        <v>-14.700000000000003</v>
      </c>
      <c r="R42" s="309">
        <f t="shared" ref="R42" si="22">SUM(R31:R41)-R31-R32-R35-R36</f>
        <v>489.79999999999995</v>
      </c>
      <c r="S42" s="309">
        <f t="shared" ref="S42" si="23">SUM(S31:S41)-S31-S32-S35-S36</f>
        <v>-19.09999999999998</v>
      </c>
      <c r="T42" s="303" t="s">
        <v>92</v>
      </c>
      <c r="V42" s="323">
        <f t="shared" ref="V42" si="24">SUM(V31:V41)-V31-V32-V35-V36</f>
        <v>425.9</v>
      </c>
      <c r="X42" s="308">
        <f>SUM(X31:X41)-X31-X32-X35-X36</f>
        <v>-11</v>
      </c>
      <c r="Y42" s="309">
        <f t="shared" ref="Y42" si="25">SUM(Y31:Y41)-Y31-Y32-Y35-Y36</f>
        <v>476.9</v>
      </c>
      <c r="Z42" s="309">
        <f t="shared" ref="Z42" si="26">SUM(Z31:Z41)-Z31-Z32-Z35-Z36</f>
        <v>-15</v>
      </c>
      <c r="AA42" s="303">
        <f>AC42-Z42-Y42-X42</f>
        <v>-19.699999999999989</v>
      </c>
      <c r="AC42" s="323">
        <v>431.2</v>
      </c>
      <c r="AD42" s="5"/>
      <c r="AE42" s="308">
        <f>SUM(AE31:AE41)-AE31-AE32-AE35-AE36</f>
        <v>-25.599999999999994</v>
      </c>
      <c r="AF42" s="309">
        <f t="shared" ref="AF42" si="27">SUM(AF31:AF41)-AF31-AF32-AF35-AF36</f>
        <v>613.59999999999991</v>
      </c>
      <c r="AG42" s="309">
        <f t="shared" ref="AG42" si="28">SUM(AG31:AG41)-AG31-AG32-AG35-AG36</f>
        <v>-397.2</v>
      </c>
      <c r="AH42" s="111">
        <f>AJ42-AG42-AF42-AE42</f>
        <v>-13.999999999999915</v>
      </c>
      <c r="AI42" s="5"/>
      <c r="AJ42" s="531">
        <v>176.79999999999995</v>
      </c>
      <c r="AL42" s="403">
        <v>-29.100000000000023</v>
      </c>
      <c r="AM42" s="309">
        <v>-30.499999999999993</v>
      </c>
      <c r="AN42" s="309">
        <v>-46</v>
      </c>
      <c r="AO42" s="323">
        <f t="shared" si="1"/>
        <v>-95.299999999999983</v>
      </c>
      <c r="AQ42" s="541">
        <f>-198.1-2.8</f>
        <v>-200.9</v>
      </c>
      <c r="AS42" s="308">
        <v>-44.4</v>
      </c>
      <c r="AT42" s="309">
        <v>-113.2</v>
      </c>
      <c r="AU42" s="309">
        <v>-40.199999999999989</v>
      </c>
      <c r="AV42" s="323">
        <f t="shared" si="2"/>
        <v>-40.100000000000051</v>
      </c>
      <c r="AX42" s="323">
        <v>-237.90000000000003</v>
      </c>
      <c r="AZ42" s="308">
        <v>-31.4</v>
      </c>
      <c r="BA42" s="309">
        <v>-95.8</v>
      </c>
      <c r="BB42" s="309">
        <v>-32.70000000000001</v>
      </c>
      <c r="BC42" s="323"/>
      <c r="BE42" s="323"/>
    </row>
    <row r="43" spans="1:195" s="60" customFormat="1" ht="20.100000000000001" customHeight="1" thickBot="1">
      <c r="A43" s="344" t="s">
        <v>202</v>
      </c>
      <c r="B43" s="345" t="s">
        <v>203</v>
      </c>
      <c r="C43" s="346">
        <v>-69.3</v>
      </c>
      <c r="D43" s="347">
        <v>148.6</v>
      </c>
      <c r="E43" s="348">
        <v>-239.7</v>
      </c>
      <c r="F43" s="349">
        <v>-354.4</v>
      </c>
      <c r="G43"/>
      <c r="H43" s="218">
        <v>-514.79999999999995</v>
      </c>
      <c r="I43"/>
      <c r="J43" s="346">
        <v>293.60000000000002</v>
      </c>
      <c r="K43" s="347">
        <v>-157.80000000000007</v>
      </c>
      <c r="L43" s="348">
        <v>-8.2999999999999261</v>
      </c>
      <c r="M43" s="349">
        <f t="shared" si="0"/>
        <v>-232.2</v>
      </c>
      <c r="N43"/>
      <c r="O43" s="225">
        <f>SUM(O31:O37)</f>
        <v>-104.69999999999996</v>
      </c>
      <c r="P43" s="5"/>
      <c r="Q43" s="346">
        <v>68.2</v>
      </c>
      <c r="R43" s="347">
        <v>293.39999999999998</v>
      </c>
      <c r="S43" s="348">
        <v>-149.49999999999997</v>
      </c>
      <c r="T43" s="349" t="s">
        <v>92</v>
      </c>
      <c r="U43"/>
      <c r="V43" s="326">
        <v>240</v>
      </c>
      <c r="W43"/>
      <c r="X43" s="346">
        <v>20.6</v>
      </c>
      <c r="Y43" s="347">
        <f>230.8-X43</f>
        <v>210.20000000000002</v>
      </c>
      <c r="Z43" s="348">
        <f>-5.1-Y43-X43</f>
        <v>-235.9</v>
      </c>
      <c r="AA43" s="349">
        <f>AC43-Z43-Y43-X43</f>
        <v>140.69999999999999</v>
      </c>
      <c r="AB43" s="122"/>
      <c r="AC43" s="326">
        <v>135.59999999999997</v>
      </c>
      <c r="AD43" s="5"/>
      <c r="AE43" s="346">
        <v>-77.2</v>
      </c>
      <c r="AF43" s="347">
        <f>456.2-AE43</f>
        <v>533.4</v>
      </c>
      <c r="AG43" s="348">
        <f>702.7-AF43-AE43</f>
        <v>246.50000000000006</v>
      </c>
      <c r="AH43" s="533">
        <f>AJ43-AG43-AF43-AE43</f>
        <v>-51.400000000000077</v>
      </c>
      <c r="AI43" s="5"/>
      <c r="AJ43" s="535">
        <v>651.29999999999995</v>
      </c>
      <c r="AK43"/>
      <c r="AL43" s="405">
        <v>-250.9</v>
      </c>
      <c r="AM43" s="347">
        <v>13.200000000000024</v>
      </c>
      <c r="AN43" s="348">
        <v>-200.60000000000005</v>
      </c>
      <c r="AO43" s="326">
        <f t="shared" si="1"/>
        <v>-238.99999999999989</v>
      </c>
      <c r="AP43"/>
      <c r="AQ43" s="535">
        <v>-677.3</v>
      </c>
      <c r="AR43"/>
      <c r="AS43" s="346">
        <v>-224.89999999999998</v>
      </c>
      <c r="AT43" s="347">
        <v>-90.1</v>
      </c>
      <c r="AU43" s="348">
        <v>-93.3</v>
      </c>
      <c r="AV43" s="326">
        <f t="shared" si="2"/>
        <v>-225.89999999999992</v>
      </c>
      <c r="AW43"/>
      <c r="AX43" s="326">
        <v>-634.19999999999993</v>
      </c>
      <c r="AY43"/>
      <c r="AZ43" s="346">
        <v>-37.6</v>
      </c>
      <c r="BA43" s="347">
        <v>-26.3</v>
      </c>
      <c r="BB43" s="348">
        <v>-263.89999999999998</v>
      </c>
      <c r="BC43" s="326"/>
      <c r="BD43"/>
      <c r="BE43" s="326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</row>
    <row r="44" spans="1:195" ht="21" customHeight="1" thickTop="1" thickBot="1">
      <c r="A44" s="204" t="s">
        <v>204</v>
      </c>
      <c r="B44" s="205" t="s">
        <v>205</v>
      </c>
      <c r="C44" s="207">
        <v>-377.2</v>
      </c>
      <c r="D44" s="206">
        <v>563.9</v>
      </c>
      <c r="E44" s="208">
        <v>-226.7</v>
      </c>
      <c r="F44" s="209">
        <v>-99.800000000000011</v>
      </c>
      <c r="H44" s="219">
        <v>-139.80000000000001</v>
      </c>
      <c r="J44" s="207">
        <v>-164.6</v>
      </c>
      <c r="K44" s="206">
        <v>303.10000000000002</v>
      </c>
      <c r="L44" s="208">
        <v>-46.399999999999949</v>
      </c>
      <c r="M44" s="209">
        <f t="shared" si="0"/>
        <v>76.200000000000188</v>
      </c>
      <c r="O44" s="226">
        <f>O16+O30+O43</f>
        <v>168.30000000000027</v>
      </c>
      <c r="P44" s="5"/>
      <c r="Q44" s="207">
        <v>-318</v>
      </c>
      <c r="R44" s="206">
        <v>280.2999999999999</v>
      </c>
      <c r="S44" s="208">
        <v>-83.499999999999972</v>
      </c>
      <c r="T44" s="209" t="s">
        <v>92</v>
      </c>
      <c r="V44" s="327">
        <v>-83.9</v>
      </c>
      <c r="X44" s="207">
        <v>-103.4</v>
      </c>
      <c r="Y44" s="206">
        <f>97.4000000000001-X44</f>
        <v>200.80000000000013</v>
      </c>
      <c r="Z44" s="208">
        <f>152.9-Y44-X44</f>
        <v>55.499999999999886</v>
      </c>
      <c r="AA44" s="209">
        <f>AC44-Z44-Y44-X44</f>
        <v>13.499999999999972</v>
      </c>
      <c r="AC44" s="327">
        <v>166.39999999999998</v>
      </c>
      <c r="AD44" s="5"/>
      <c r="AE44" s="207">
        <v>-154.29999999999998</v>
      </c>
      <c r="AF44" s="206">
        <f>333.5-AE44</f>
        <v>487.79999999999995</v>
      </c>
      <c r="AG44" s="208">
        <f>424.7-AF44-AE44</f>
        <v>91.200000000000017</v>
      </c>
      <c r="AH44" s="533">
        <f>AJ44-AG44-AF44-AE44</f>
        <v>57.699999999999847</v>
      </c>
      <c r="AI44" s="5"/>
      <c r="AJ44" s="535">
        <v>482.39999999999986</v>
      </c>
      <c r="AL44" s="407">
        <v>-441.4</v>
      </c>
      <c r="AM44" s="206">
        <v>210.39999999999998</v>
      </c>
      <c r="AN44" s="208">
        <v>-234.49999999999983</v>
      </c>
      <c r="AO44" s="327">
        <f t="shared" si="1"/>
        <v>-80.200000000000216</v>
      </c>
      <c r="AQ44" s="535">
        <v>-545.70000000000005</v>
      </c>
      <c r="AS44" s="207">
        <v>-1.0000000000000568</v>
      </c>
      <c r="AT44" s="206">
        <v>28.7</v>
      </c>
      <c r="AU44" s="208">
        <v>147.19999999999993</v>
      </c>
      <c r="AV44" s="327">
        <f t="shared" si="2"/>
        <v>-303.80000000000018</v>
      </c>
      <c r="AX44" s="327">
        <v>-128.90000000000032</v>
      </c>
      <c r="AZ44" s="207">
        <v>128.90000000000018</v>
      </c>
      <c r="BA44" s="206">
        <v>-52.1</v>
      </c>
      <c r="BB44" s="208">
        <v>342.99999999999943</v>
      </c>
      <c r="BC44" s="327"/>
      <c r="BE44" s="327"/>
    </row>
    <row r="45" spans="1:195" ht="29.4" hidden="1" outlineLevel="1" thickTop="1">
      <c r="A45" s="116" t="s">
        <v>206</v>
      </c>
      <c r="B45" s="211" t="s">
        <v>207</v>
      </c>
      <c r="C45" s="109">
        <v>-377.8</v>
      </c>
      <c r="D45" s="110">
        <v>575.4</v>
      </c>
      <c r="E45" s="108">
        <v>-233.2</v>
      </c>
      <c r="F45" s="111">
        <v>-100.30000000000001</v>
      </c>
      <c r="H45" s="215">
        <v>-135.9</v>
      </c>
      <c r="J45" s="109">
        <v>-165.1</v>
      </c>
      <c r="K45" s="110">
        <v>301.7</v>
      </c>
      <c r="L45" s="108">
        <v>-45.199999999999989</v>
      </c>
      <c r="M45" s="111">
        <f t="shared" si="0"/>
        <v>75.400000000000006</v>
      </c>
      <c r="O45" s="222">
        <v>166.8</v>
      </c>
      <c r="P45" s="5"/>
      <c r="Q45" s="109">
        <v>-317.2</v>
      </c>
      <c r="R45" s="110">
        <v>280.2</v>
      </c>
      <c r="S45" s="108">
        <v>-83.3</v>
      </c>
      <c r="T45" s="111" t="s">
        <v>92</v>
      </c>
      <c r="V45" s="325">
        <v>-83.8</v>
      </c>
      <c r="X45" s="109">
        <v>-102.6</v>
      </c>
      <c r="Y45" s="110">
        <f>98-X45</f>
        <v>200.6</v>
      </c>
      <c r="Z45" s="108">
        <f>155.2-Y45-X45</f>
        <v>57.199999999999989</v>
      </c>
      <c r="AA45" s="111"/>
      <c r="AC45" s="325"/>
      <c r="AD45" s="5"/>
      <c r="AE45" s="109">
        <v>-154.19999999999999</v>
      </c>
      <c r="AF45" s="110">
        <f>333.5-AE45</f>
        <v>487.7</v>
      </c>
      <c r="AG45" s="108">
        <f>424.7-AF45-AE45</f>
        <v>91.199999999999989</v>
      </c>
      <c r="AH45" s="111"/>
      <c r="AI45" s="5"/>
      <c r="AJ45" s="536"/>
      <c r="AL45" s="408"/>
      <c r="AM45" s="110"/>
      <c r="AN45" s="108"/>
      <c r="AO45" s="325">
        <f t="shared" si="1"/>
        <v>0</v>
      </c>
      <c r="AQ45" s="544"/>
      <c r="AS45" s="109"/>
      <c r="AT45" s="110"/>
      <c r="AU45" s="108"/>
      <c r="AV45" s="325">
        <f t="shared" si="2"/>
        <v>0</v>
      </c>
      <c r="AX45" s="325"/>
      <c r="AZ45" s="109"/>
      <c r="BA45" s="110"/>
      <c r="BB45" s="108"/>
      <c r="BC45" s="325"/>
      <c r="BE45" s="325"/>
    </row>
    <row r="46" spans="1:195" ht="28.8" hidden="1" outlineLevel="1">
      <c r="A46" s="117" t="s">
        <v>208</v>
      </c>
      <c r="B46" s="212" t="s">
        <v>209</v>
      </c>
      <c r="C46" s="109">
        <v>-0.6</v>
      </c>
      <c r="D46" s="110">
        <v>11.5</v>
      </c>
      <c r="E46" s="108">
        <v>-6.5</v>
      </c>
      <c r="F46" s="111">
        <v>-0.50000000000000044</v>
      </c>
      <c r="H46" s="215">
        <v>3.9</v>
      </c>
      <c r="J46" s="109">
        <v>-0.5</v>
      </c>
      <c r="K46" s="110">
        <v>-1.4</v>
      </c>
      <c r="L46" s="108">
        <v>1.2</v>
      </c>
      <c r="M46" s="111">
        <f t="shared" si="0"/>
        <v>-0.8</v>
      </c>
      <c r="O46" s="222">
        <v>-1.5</v>
      </c>
      <c r="P46" s="5"/>
      <c r="Q46" s="109">
        <v>0.8</v>
      </c>
      <c r="R46" s="110">
        <v>-0.10000000000000009</v>
      </c>
      <c r="S46" s="108">
        <v>0.20000000000000007</v>
      </c>
      <c r="T46" s="111" t="s">
        <v>92</v>
      </c>
      <c r="V46" s="325">
        <v>0.1</v>
      </c>
      <c r="X46" s="109">
        <v>0.8</v>
      </c>
      <c r="Y46" s="110">
        <f>0.6-X46</f>
        <v>-0.20000000000000007</v>
      </c>
      <c r="Z46" s="108">
        <f>2.3-Y46-X46</f>
        <v>1.7</v>
      </c>
      <c r="AA46" s="111"/>
      <c r="AC46" s="325"/>
      <c r="AD46" s="5"/>
      <c r="AE46" s="109">
        <v>0.1</v>
      </c>
      <c r="AF46" s="110">
        <f>-AE46</f>
        <v>-0.1</v>
      </c>
      <c r="AG46" s="108">
        <f>0-AF46-AE46</f>
        <v>0</v>
      </c>
      <c r="AH46" s="111"/>
      <c r="AI46" s="5"/>
      <c r="AJ46" s="536"/>
      <c r="AL46" s="408"/>
      <c r="AM46" s="110"/>
      <c r="AN46" s="108"/>
      <c r="AO46" s="325">
        <f t="shared" si="1"/>
        <v>0</v>
      </c>
      <c r="AQ46" s="544"/>
      <c r="AS46" s="109"/>
      <c r="AT46" s="110"/>
      <c r="AU46" s="108"/>
      <c r="AV46" s="325">
        <f t="shared" si="2"/>
        <v>0</v>
      </c>
      <c r="AX46" s="325"/>
      <c r="AZ46" s="109"/>
      <c r="BA46" s="110"/>
      <c r="BB46" s="108"/>
      <c r="BC46" s="325"/>
      <c r="BE46" s="325"/>
    </row>
    <row r="47" spans="1:195" ht="20.100000000000001" hidden="1" customHeight="1" outlineLevel="1" thickBot="1">
      <c r="A47" s="31" t="s">
        <v>210</v>
      </c>
      <c r="B47" s="34" t="s">
        <v>211</v>
      </c>
      <c r="C47" s="112">
        <v>511.6</v>
      </c>
      <c r="D47" s="113">
        <v>134.4</v>
      </c>
      <c r="E47" s="114">
        <v>700.7</v>
      </c>
      <c r="F47" s="115">
        <v>471.6</v>
      </c>
      <c r="H47" s="216">
        <v>514.1</v>
      </c>
      <c r="J47" s="112">
        <v>374.3</v>
      </c>
      <c r="K47" s="113">
        <f>J48</f>
        <v>209.7</v>
      </c>
      <c r="L47" s="114">
        <v>512.79999999999995</v>
      </c>
      <c r="M47" s="115">
        <f>L48</f>
        <v>466.4</v>
      </c>
      <c r="O47" s="223">
        <v>374.3</v>
      </c>
      <c r="P47" s="5"/>
      <c r="Q47" s="112">
        <v>542.6</v>
      </c>
      <c r="R47" s="113">
        <f>Q48</f>
        <v>224.6</v>
      </c>
      <c r="S47" s="114">
        <v>280.3</v>
      </c>
      <c r="T47" s="115" t="s">
        <v>92</v>
      </c>
      <c r="V47" s="324">
        <v>542.6</v>
      </c>
      <c r="X47" s="112">
        <v>292.3</v>
      </c>
      <c r="Y47" s="113">
        <f>X48</f>
        <v>188.9</v>
      </c>
      <c r="Z47" s="114">
        <f>Y48</f>
        <v>389.70000000000016</v>
      </c>
      <c r="AA47" s="115"/>
      <c r="AC47" s="324"/>
      <c r="AD47" s="5"/>
      <c r="AE47" s="112">
        <v>458.8</v>
      </c>
      <c r="AF47" s="113">
        <f>AE48</f>
        <v>304.5</v>
      </c>
      <c r="AG47" s="114">
        <f>AF48</f>
        <v>792.2</v>
      </c>
      <c r="AH47" s="115"/>
      <c r="AI47" s="5"/>
      <c r="AJ47" s="537"/>
      <c r="AL47" s="409"/>
      <c r="AM47" s="113"/>
      <c r="AN47" s="114"/>
      <c r="AO47" s="324">
        <f t="shared" si="1"/>
        <v>0</v>
      </c>
      <c r="AQ47" s="545"/>
      <c r="AS47" s="112"/>
      <c r="AT47" s="113"/>
      <c r="AU47" s="114"/>
      <c r="AV47" s="324">
        <f t="shared" si="2"/>
        <v>0</v>
      </c>
      <c r="AX47" s="324"/>
      <c r="AZ47" s="112"/>
      <c r="BA47" s="113"/>
      <c r="BB47" s="114"/>
      <c r="BC47" s="324"/>
      <c r="BE47" s="324"/>
    </row>
    <row r="48" spans="1:195" ht="20.100000000000001" customHeight="1" collapsed="1" thickTop="1" thickBot="1">
      <c r="A48" s="32" t="s">
        <v>212</v>
      </c>
      <c r="B48" s="33" t="s">
        <v>213</v>
      </c>
      <c r="C48" s="119">
        <v>134.4</v>
      </c>
      <c r="D48" s="118">
        <v>700.7</v>
      </c>
      <c r="E48" s="120">
        <v>471.6</v>
      </c>
      <c r="F48" s="121">
        <v>374.3</v>
      </c>
      <c r="H48" s="328">
        <v>374.3</v>
      </c>
      <c r="J48" s="119">
        <v>209.7</v>
      </c>
      <c r="K48" s="118">
        <v>512.79999999999995</v>
      </c>
      <c r="L48" s="120">
        <v>466.4</v>
      </c>
      <c r="M48" s="121">
        <f>O48</f>
        <v>542.6</v>
      </c>
      <c r="O48" s="227">
        <v>542.6</v>
      </c>
      <c r="P48" s="5"/>
      <c r="Q48" s="119">
        <v>224.6</v>
      </c>
      <c r="R48" s="118">
        <v>280.29999999999995</v>
      </c>
      <c r="S48" s="120">
        <v>421.4</v>
      </c>
      <c r="T48" s="121" t="s">
        <v>92</v>
      </c>
      <c r="V48" s="220">
        <v>458.7</v>
      </c>
      <c r="X48" s="119">
        <v>188.9</v>
      </c>
      <c r="Y48" s="118">
        <v>389.70000000000016</v>
      </c>
      <c r="Z48" s="120">
        <v>445.2</v>
      </c>
      <c r="AA48" s="121">
        <f>AC48</f>
        <v>458.7</v>
      </c>
      <c r="AC48" s="328">
        <v>458.7</v>
      </c>
      <c r="AD48" s="5"/>
      <c r="AE48" s="119">
        <v>304.5</v>
      </c>
      <c r="AF48" s="118">
        <v>792.2</v>
      </c>
      <c r="AG48" s="120">
        <v>883.4</v>
      </c>
      <c r="AH48" s="538">
        <f>AJ48</f>
        <v>941.1</v>
      </c>
      <c r="AI48" s="5"/>
      <c r="AJ48" s="539">
        <v>941.1</v>
      </c>
      <c r="AL48" s="410">
        <v>493.8</v>
      </c>
      <c r="AM48" s="118">
        <v>710.1</v>
      </c>
      <c r="AN48" s="120">
        <v>475.6</v>
      </c>
      <c r="AO48" s="328">
        <f>AQ48</f>
        <v>395.4</v>
      </c>
      <c r="AQ48" s="546">
        <v>395.4</v>
      </c>
      <c r="AS48" s="119">
        <v>394.4</v>
      </c>
      <c r="AT48" s="118">
        <v>423.1</v>
      </c>
      <c r="AU48" s="120">
        <v>570.29999999999995</v>
      </c>
      <c r="AV48" s="328">
        <f>AX48</f>
        <v>266.5</v>
      </c>
      <c r="AX48" s="328">
        <v>266.5</v>
      </c>
      <c r="AZ48" s="119">
        <v>395.5</v>
      </c>
      <c r="BA48" s="118">
        <v>343.4</v>
      </c>
      <c r="BB48" s="120">
        <v>686.4</v>
      </c>
      <c r="BC48" s="328"/>
      <c r="BE48" s="328"/>
    </row>
    <row r="49" spans="4:46">
      <c r="P49" s="5"/>
      <c r="AD49" s="5"/>
    </row>
    <row r="50" spans="4:46">
      <c r="D50" s="4"/>
      <c r="E50" s="4"/>
      <c r="F50" s="4"/>
      <c r="P50" s="5"/>
      <c r="AD50" s="5"/>
      <c r="AT50" s="563"/>
    </row>
    <row r="51" spans="4:46">
      <c r="D51" s="4"/>
      <c r="E51" s="4"/>
      <c r="F51" s="4"/>
    </row>
    <row r="52" spans="4:46">
      <c r="D52" s="4"/>
      <c r="E52" s="4"/>
      <c r="F52" s="4"/>
    </row>
    <row r="53" spans="4:46">
      <c r="D53" s="4"/>
      <c r="E53" s="4"/>
      <c r="F53" s="4"/>
      <c r="AT53" s="563"/>
    </row>
    <row r="54" spans="4:46">
      <c r="D54" s="4"/>
      <c r="E54" s="4"/>
      <c r="F54" s="4"/>
    </row>
    <row r="55" spans="4:46">
      <c r="D55" s="4"/>
      <c r="E55" s="4"/>
      <c r="F55" s="4"/>
    </row>
    <row r="56" spans="4:46">
      <c r="D56" s="4"/>
      <c r="E56" s="4"/>
      <c r="F56" s="4"/>
    </row>
    <row r="57" spans="4:46">
      <c r="D57" s="4"/>
      <c r="E57" s="4"/>
      <c r="F57" s="4"/>
    </row>
    <row r="58" spans="4:46">
      <c r="D58" s="4"/>
      <c r="E58" s="4"/>
      <c r="F58" s="4"/>
    </row>
    <row r="59" spans="4:46">
      <c r="D59" s="4"/>
      <c r="E59" s="4"/>
      <c r="F59" s="4"/>
    </row>
    <row r="60" spans="4:46">
      <c r="D60" s="4"/>
      <c r="E60" s="4"/>
      <c r="F60" s="4"/>
    </row>
    <row r="61" spans="4:46">
      <c r="D61" s="4"/>
      <c r="E61" s="4"/>
      <c r="F61" s="4"/>
    </row>
    <row r="62" spans="4:46">
      <c r="D62" s="4"/>
      <c r="E62" s="4"/>
      <c r="F62" s="4"/>
    </row>
    <row r="63" spans="4:46">
      <c r="D63" s="4"/>
      <c r="E63" s="4"/>
      <c r="F63" s="4"/>
    </row>
    <row r="64" spans="4:46">
      <c r="D64" s="4"/>
      <c r="E64" s="4"/>
      <c r="F64" s="4"/>
    </row>
    <row r="65" spans="4:6">
      <c r="D65" s="4"/>
      <c r="E65" s="4"/>
      <c r="F65" s="4"/>
    </row>
    <row r="66" spans="4:6">
      <c r="D66" s="4"/>
      <c r="E66" s="4"/>
      <c r="F66" s="4"/>
    </row>
    <row r="67" spans="4:6">
      <c r="D67" s="4"/>
      <c r="E67" s="4"/>
      <c r="F67" s="4"/>
    </row>
    <row r="68" spans="4:6">
      <c r="D68" s="4"/>
      <c r="E68" s="4"/>
      <c r="F68" s="4"/>
    </row>
    <row r="69" spans="4:6">
      <c r="D69" s="4"/>
      <c r="E69" s="4"/>
      <c r="F69" s="4"/>
    </row>
    <row r="70" spans="4:6">
      <c r="D70" s="4"/>
      <c r="E70" s="4"/>
      <c r="F70" s="4"/>
    </row>
    <row r="71" spans="4:6">
      <c r="D71" s="4"/>
      <c r="E71" s="4"/>
      <c r="F71" s="4"/>
    </row>
    <row r="72" spans="4:6">
      <c r="D72" s="4"/>
      <c r="E72" s="4"/>
      <c r="F72" s="4"/>
    </row>
    <row r="73" spans="4:6">
      <c r="D73" s="4"/>
      <c r="E73" s="4"/>
      <c r="F73" s="4"/>
    </row>
    <row r="74" spans="4:6">
      <c r="D74" s="4"/>
      <c r="E74" s="4"/>
      <c r="F74" s="4"/>
    </row>
    <row r="75" spans="4:6">
      <c r="D75" s="4"/>
      <c r="E75" s="4"/>
      <c r="F75" s="4"/>
    </row>
    <row r="76" spans="4:6">
      <c r="D76" s="4"/>
      <c r="E76" s="4"/>
      <c r="F76" s="4"/>
    </row>
    <row r="77" spans="4:6">
      <c r="D77" s="4"/>
      <c r="E77" s="4"/>
      <c r="F77" s="4"/>
    </row>
    <row r="78" spans="4:6">
      <c r="D78" s="4"/>
      <c r="E78" s="4"/>
      <c r="F78" s="4"/>
    </row>
    <row r="79" spans="4:6">
      <c r="D79" s="4"/>
      <c r="E79" s="4"/>
      <c r="F79" s="4"/>
    </row>
    <row r="80" spans="4:6">
      <c r="D80" s="4"/>
      <c r="E80" s="4"/>
      <c r="F80" s="4"/>
    </row>
  </sheetData>
  <conditionalFormatting sqref="B49">
    <cfRule type="cellIs" dxfId="0" priority="1" operator="equal">
      <formula>"ok"</formula>
    </cfRule>
  </conditionalFormatting>
  <pageMargins left="0.7" right="0.7" top="0.75" bottom="0.75" header="0.3" footer="0.3"/>
  <pageSetup paperSize="9" orientation="portrait" r:id="rId1"/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e95dc2a8-55ef-4bde-ab77-77cf0b131919">
      <UserInfo>
        <DisplayName>Wojciech Latocha</DisplayName>
        <AccountId>7</AccountId>
        <AccountType/>
      </UserInfo>
    </SharedWithUser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61D340A7412654C9794217382CC663F" ma:contentTypeVersion="13" ma:contentTypeDescription="Utwórz nowy dokument." ma:contentTypeScope="" ma:versionID="7eae22fd56ca9bc85e929c1f0851b14e">
  <xsd:schema xmlns:xsd="http://www.w3.org/2001/XMLSchema" xmlns:xs="http://www.w3.org/2001/XMLSchema" xmlns:p="http://schemas.microsoft.com/office/2006/metadata/properties" xmlns:ns2="5f0d1ff7-f49c-434e-b970-5d4592be097b" xmlns:ns3="e95dc2a8-55ef-4bde-ab77-77cf0b131919" targetNamespace="http://schemas.microsoft.com/office/2006/metadata/properties" ma:root="true" ma:fieldsID="3ca6be1d1868c0e34347f9195265bb21" ns2:_="" ns3:_="">
    <xsd:import namespace="5f0d1ff7-f49c-434e-b970-5d4592be097b"/>
    <xsd:import namespace="e95dc2a8-55ef-4bde-ab77-77cf0b13191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0d1ff7-f49c-434e-b970-5d4592be097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95dc2a8-55ef-4bde-ab77-77cf0b131919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CD2764B-4F16-4ECC-809F-5FA383000D0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F4709A5-F164-45BD-8F94-94231CDB87A7}">
  <ds:schemaRefs>
    <ds:schemaRef ds:uri="http://schemas.microsoft.com/office/2006/metadata/properties"/>
    <ds:schemaRef ds:uri="http://schemas.microsoft.com/office/infopath/2007/PartnerControls"/>
    <ds:schemaRef ds:uri="e95dc2a8-55ef-4bde-ab77-77cf0b131919"/>
  </ds:schemaRefs>
</ds:datastoreItem>
</file>

<file path=customXml/itemProps3.xml><?xml version="1.0" encoding="utf-8"?>
<ds:datastoreItem xmlns:ds="http://schemas.openxmlformats.org/officeDocument/2006/customXml" ds:itemID="{3C84864E-E614-4C74-A405-4C1224BC04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f0d1ff7-f49c-434e-b970-5d4592be097b"/>
    <ds:schemaRef ds:uri="e95dc2a8-55ef-4bde-ab77-77cf0b13191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Okładka | Cover</vt:lpstr>
      <vt:lpstr>Rozwój | Development</vt:lpstr>
      <vt:lpstr>RZiS | P&amp;L</vt:lpstr>
      <vt:lpstr>Segmenty | Segments</vt:lpstr>
      <vt:lpstr>Bilans | Balance sheet</vt:lpstr>
      <vt:lpstr>Przepływy finansowe | Cash flow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2015-06-05T18:19:34Z</dcterms:created>
  <dcterms:modified xsi:type="dcterms:W3CDTF">2024-11-27T15:10:34Z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0x010100861D340A7412654C9794217382CC663F</vt:lpwstr>
  </property>
</Properties>
</file>