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8" documentId="8_{72E6562D-536B-43AC-B7CE-B0C949C137D1}" xr6:coauthVersionLast="47" xr6:coauthVersionMax="47" xr10:uidLastSave="{C578566F-B808-42BB-AC4F-D1C9B19892C2}"/>
  <bookViews>
    <workbookView xWindow="-103" yWindow="-103" windowWidth="33120" windowHeight="18000" tabRatio="855" activeTab="1" xr2:uid="{00000000-000D-0000-FFFF-FFFF00000000}"/>
  </bookViews>
  <sheets>
    <sheet name="Okładka | Cover" sheetId="7" r:id="rId1"/>
    <sheet name="Rozwój | Development" sheetId="23" r:id="rId2"/>
    <sheet name="RZiS | P&amp;L" sheetId="1" r:id="rId3"/>
    <sheet name="Segmenty | Segments" sheetId="22" r:id="rId4"/>
    <sheet name="Bilans | Balance sheet" sheetId="19" r:id="rId5"/>
    <sheet name="Przepływy finansowe | Cash flow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83" i="23" l="1"/>
  <c r="AS77" i="23" l="1"/>
  <c r="AS37" i="23"/>
  <c r="AU70" i="23"/>
  <c r="AU77" i="23" s="1"/>
  <c r="AT70" i="23"/>
  <c r="AS70" i="23"/>
  <c r="AU58" i="23"/>
  <c r="AT58" i="23"/>
  <c r="AS58" i="23"/>
  <c r="AU30" i="23"/>
  <c r="AT30" i="23"/>
  <c r="AT37" i="23" s="1"/>
  <c r="AS30" i="23"/>
  <c r="AU18" i="23"/>
  <c r="AU37" i="23" s="1"/>
  <c r="AT18" i="23"/>
  <c r="AS18" i="23"/>
  <c r="BH14" i="1"/>
  <c r="BH12" i="1"/>
  <c r="BH9" i="1"/>
  <c r="BH8" i="1"/>
  <c r="BH10" i="1"/>
  <c r="BH5" i="1"/>
  <c r="AL69" i="22"/>
  <c r="AL60" i="22"/>
  <c r="AL51" i="22"/>
  <c r="AL43" i="22"/>
  <c r="AL11" i="22"/>
  <c r="AL3" i="22"/>
  <c r="BG44" i="20"/>
  <c r="BG30" i="20"/>
  <c r="BG11" i="20"/>
  <c r="BG16" i="20" s="1"/>
  <c r="AT77" i="23" l="1"/>
  <c r="BD16" i="1" l="1"/>
  <c r="AG24" i="22"/>
  <c r="AG23" i="22"/>
  <c r="AG22" i="22"/>
  <c r="AG21" i="22"/>
  <c r="AG20" i="22"/>
  <c r="AP70" i="23"/>
  <c r="AP30" i="23"/>
  <c r="BB5" i="1"/>
  <c r="AO58" i="23"/>
  <c r="AO30" i="23"/>
  <c r="AO18" i="23"/>
  <c r="AO70" i="23"/>
  <c r="BA10" i="1"/>
  <c r="V57" i="22"/>
  <c r="V56" i="22"/>
  <c r="V55" i="22"/>
  <c r="V54" i="22"/>
  <c r="V53" i="22"/>
  <c r="V52" i="22"/>
  <c r="V51" i="22"/>
  <c r="V49" i="22"/>
  <c r="V48" i="22"/>
  <c r="V47" i="22"/>
  <c r="V46" i="22"/>
  <c r="V45" i="22"/>
  <c r="V44" i="22"/>
  <c r="V43" i="22"/>
  <c r="T51" i="22"/>
  <c r="T43" i="22"/>
  <c r="AW7" i="1"/>
  <c r="AW8" i="1"/>
  <c r="AV5" i="20"/>
  <c r="AV6" i="20"/>
  <c r="AV7" i="20"/>
  <c r="AV8" i="20"/>
  <c r="AV9" i="20"/>
  <c r="AV13" i="20"/>
  <c r="AV14" i="20"/>
  <c r="AV15" i="20"/>
  <c r="AV17" i="20"/>
  <c r="AV18" i="20"/>
  <c r="AV19" i="20"/>
  <c r="AV20" i="20"/>
  <c r="AV22" i="20"/>
  <c r="AV23" i="20"/>
  <c r="AV24" i="20"/>
  <c r="AV25" i="20"/>
  <c r="AV26" i="20"/>
  <c r="AV27" i="20"/>
  <c r="AV28" i="20"/>
  <c r="AV32" i="20"/>
  <c r="AV33" i="20"/>
  <c r="AV34" i="20"/>
  <c r="AV36" i="20"/>
  <c r="AV37" i="20"/>
  <c r="AV39" i="20"/>
  <c r="AV40" i="20"/>
  <c r="AV41" i="20"/>
  <c r="AV43" i="20"/>
  <c r="AV46" i="20"/>
  <c r="AV47" i="20"/>
  <c r="AV48" i="20"/>
  <c r="AV2" i="20"/>
  <c r="AV49" i="20"/>
  <c r="AV45" i="20"/>
  <c r="AV44" i="20"/>
  <c r="AV38" i="20"/>
  <c r="AV35" i="20"/>
  <c r="AV31" i="20"/>
  <c r="AV30" i="20"/>
  <c r="AV29" i="20"/>
  <c r="AV21" i="20"/>
  <c r="AV16" i="20"/>
  <c r="AV12" i="20"/>
  <c r="AV11" i="20"/>
  <c r="AV10" i="20"/>
  <c r="AV4" i="20"/>
  <c r="AV3" i="20"/>
  <c r="AA16" i="22"/>
  <c r="AA53" i="22"/>
  <c r="AA54" i="22"/>
  <c r="AA56" i="22"/>
  <c r="AA57" i="22"/>
  <c r="AA51" i="22"/>
  <c r="AA49" i="22"/>
  <c r="AA43" i="22"/>
  <c r="AA6" i="22"/>
  <c r="AA9" i="22"/>
  <c r="AA10" i="22"/>
  <c r="AA11" i="22"/>
  <c r="AA19" i="22"/>
  <c r="AA13" i="22"/>
  <c r="AA21" i="22"/>
  <c r="AA15" i="22"/>
  <c r="AA17" i="22"/>
  <c r="AA3" i="22"/>
  <c r="AA63" i="22"/>
  <c r="AA65" i="22"/>
  <c r="AA66" i="22"/>
  <c r="AA74" i="22"/>
  <c r="AA75" i="22"/>
  <c r="AA70" i="22"/>
  <c r="AA73" i="22"/>
  <c r="AA72" i="22"/>
  <c r="AA71" i="22"/>
  <c r="AA69" i="22"/>
  <c r="AA64" i="22"/>
  <c r="AA62" i="22"/>
  <c r="AA61" i="22"/>
  <c r="AA60" i="22"/>
  <c r="AA48" i="22"/>
  <c r="AA47" i="22"/>
  <c r="AA46" i="22"/>
  <c r="AA45" i="22"/>
  <c r="AA44" i="22"/>
  <c r="AA55" i="22"/>
  <c r="AA52" i="22"/>
  <c r="AA14" i="22"/>
  <c r="AA22" i="22"/>
  <c r="AA12" i="22"/>
  <c r="AA8" i="22"/>
  <c r="AA7" i="22"/>
  <c r="AA5" i="22"/>
  <c r="AA4" i="22"/>
  <c r="AW6" i="1"/>
  <c r="AW16" i="1"/>
  <c r="AW4" i="1"/>
  <c r="AW5" i="1"/>
  <c r="AW3" i="1"/>
  <c r="AW14" i="1"/>
  <c r="AW13" i="1"/>
  <c r="AW12" i="1"/>
  <c r="AW11" i="1"/>
  <c r="AW9" i="1"/>
  <c r="AA23" i="22"/>
  <c r="AA20" i="22"/>
  <c r="AA24" i="22"/>
  <c r="AW10" i="1"/>
  <c r="AL58" i="23"/>
  <c r="AL8" i="23"/>
  <c r="AL18" i="23"/>
  <c r="S43" i="22"/>
  <c r="S51" i="22"/>
  <c r="AK13" i="23"/>
  <c r="AK18" i="23"/>
  <c r="AK37" i="23"/>
  <c r="AP5" i="1"/>
  <c r="AJ82" i="23"/>
  <c r="AU11" i="1"/>
  <c r="AU9" i="1"/>
  <c r="AU10" i="1"/>
  <c r="AU7" i="1"/>
  <c r="AU5" i="1"/>
  <c r="AJ58" i="23"/>
  <c r="AJ18" i="23"/>
  <c r="AJ37" i="23"/>
  <c r="AI18" i="23"/>
  <c r="Q60" i="22"/>
  <c r="AV9" i="1"/>
  <c r="AV10" i="1"/>
  <c r="X20" i="22"/>
  <c r="AI58" i="23"/>
  <c r="AJ70" i="23"/>
  <c r="AJ77" i="23"/>
  <c r="AL30" i="23"/>
  <c r="AJ30" i="23"/>
  <c r="AK70" i="23"/>
  <c r="AI70" i="23"/>
  <c r="AK58" i="23"/>
  <c r="AK77" i="23"/>
  <c r="AL42" i="23"/>
  <c r="AK42" i="23"/>
  <c r="AJ42" i="23"/>
  <c r="AI42" i="23"/>
  <c r="AK30" i="23"/>
  <c r="AI30" i="23"/>
  <c r="AY9" i="1"/>
  <c r="AY10" i="1"/>
  <c r="AY5" i="1"/>
  <c r="AP10" i="1"/>
  <c r="AO49" i="20"/>
  <c r="AO3" i="20"/>
  <c r="AO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4" i="20"/>
  <c r="AO45" i="20"/>
  <c r="AO46" i="20"/>
  <c r="AO47" i="20"/>
  <c r="AO48" i="20"/>
  <c r="AO2" i="20"/>
  <c r="AQ43" i="20"/>
  <c r="AO43" i="20" s="1"/>
  <c r="M74" i="22"/>
  <c r="M73" i="22"/>
  <c r="M72" i="22"/>
  <c r="M71" i="22"/>
  <c r="M70" i="22"/>
  <c r="M69" i="22"/>
  <c r="O36" i="22"/>
  <c r="O37" i="22"/>
  <c r="O38" i="22"/>
  <c r="O39" i="22"/>
  <c r="O40" i="22"/>
  <c r="O41" i="22"/>
  <c r="M4" i="22"/>
  <c r="M5" i="22"/>
  <c r="M12" i="22"/>
  <c r="M13" i="22"/>
  <c r="T70" i="22"/>
  <c r="T71" i="22"/>
  <c r="T72" i="22"/>
  <c r="T73" i="22"/>
  <c r="T74" i="22"/>
  <c r="T75" i="22"/>
  <c r="T69" i="22"/>
  <c r="T62" i="22"/>
  <c r="T61" i="22"/>
  <c r="T33" i="22"/>
  <c r="T32" i="22"/>
  <c r="T31" i="22"/>
  <c r="T30" i="22"/>
  <c r="T29" i="22"/>
  <c r="T28" i="22"/>
  <c r="T4" i="22"/>
  <c r="T36" i="22"/>
  <c r="T5" i="22"/>
  <c r="T6" i="22"/>
  <c r="T7" i="22"/>
  <c r="T8" i="22"/>
  <c r="T9" i="22"/>
  <c r="T10" i="22"/>
  <c r="T12" i="22"/>
  <c r="T13" i="22"/>
  <c r="T14" i="22"/>
  <c r="T15" i="22"/>
  <c r="T16" i="22"/>
  <c r="T17" i="22"/>
  <c r="T65" i="22"/>
  <c r="T64" i="22"/>
  <c r="T63" i="22"/>
  <c r="T60" i="22"/>
  <c r="V37" i="22"/>
  <c r="V38" i="22"/>
  <c r="V39" i="22"/>
  <c r="V40" i="22"/>
  <c r="V41" i="22"/>
  <c r="V36" i="22"/>
  <c r="V11" i="22"/>
  <c r="V20" i="22"/>
  <c r="V21" i="22"/>
  <c r="V22" i="22"/>
  <c r="V23" i="22"/>
  <c r="V24" i="22"/>
  <c r="V25" i="22"/>
  <c r="V27" i="22"/>
  <c r="T27" i="22"/>
  <c r="V66" i="22"/>
  <c r="T66" i="22"/>
  <c r="T20" i="22"/>
  <c r="T38" i="22"/>
  <c r="T39" i="22"/>
  <c r="T22" i="22"/>
  <c r="T21" i="22"/>
  <c r="T40" i="22"/>
  <c r="T41" i="22"/>
  <c r="T23" i="22"/>
  <c r="T37" i="22"/>
  <c r="T25" i="22"/>
  <c r="T24" i="22"/>
  <c r="T11" i="22"/>
  <c r="AP4" i="1"/>
  <c r="AP6" i="1"/>
  <c r="AP7" i="1"/>
  <c r="AP8" i="1"/>
  <c r="AP11" i="1"/>
  <c r="AP12" i="1"/>
  <c r="AP13" i="1"/>
  <c r="AP14" i="1"/>
  <c r="AP16" i="1"/>
  <c r="AP3" i="1"/>
  <c r="AR10" i="1"/>
  <c r="AR9" i="1"/>
  <c r="AP9" i="1"/>
  <c r="AR5" i="1"/>
  <c r="AR14" i="1"/>
  <c r="AR11" i="1"/>
  <c r="AR7" i="1"/>
  <c r="AR6" i="1"/>
  <c r="AR16" i="1"/>
  <c r="AI4" i="1"/>
  <c r="AI5" i="1"/>
  <c r="AI6" i="1"/>
  <c r="AI7" i="1"/>
  <c r="AI8" i="1"/>
  <c r="AI11" i="1"/>
  <c r="AI12" i="1"/>
  <c r="AI13" i="1"/>
  <c r="AI14" i="1"/>
  <c r="AI16" i="1"/>
  <c r="AI3" i="1"/>
  <c r="AK9" i="1"/>
  <c r="AK10" i="1"/>
  <c r="AI10" i="1"/>
  <c r="AK11" i="1"/>
  <c r="AK7" i="1"/>
  <c r="AK6" i="1"/>
  <c r="AK5" i="1"/>
  <c r="V3" i="22"/>
  <c r="AI9" i="1"/>
  <c r="AN5" i="1"/>
  <c r="T3" i="22"/>
  <c r="V35" i="22"/>
  <c r="V19" i="22"/>
  <c r="S36" i="22"/>
  <c r="S41" i="22"/>
  <c r="S40" i="22"/>
  <c r="S39" i="22"/>
  <c r="S38" i="22"/>
  <c r="S37" i="22"/>
  <c r="S35" i="22"/>
  <c r="AO9" i="1"/>
  <c r="AO10" i="1"/>
  <c r="AO5" i="1"/>
  <c r="AF70" i="23"/>
  <c r="AF58" i="23"/>
  <c r="AF77" i="23"/>
  <c r="AF42" i="23"/>
  <c r="AF30" i="23"/>
  <c r="AF18" i="23"/>
  <c r="AF37" i="23"/>
  <c r="Q69" i="22"/>
  <c r="J69" i="22"/>
  <c r="L69" i="22"/>
  <c r="J60" i="22"/>
  <c r="L60" i="22"/>
  <c r="K60" i="22"/>
  <c r="K69" i="22"/>
  <c r="L40" i="22"/>
  <c r="K40" i="22"/>
  <c r="J40" i="22"/>
  <c r="L39" i="22"/>
  <c r="K39" i="22"/>
  <c r="J39" i="22"/>
  <c r="L38" i="22"/>
  <c r="K38" i="22"/>
  <c r="J38" i="22"/>
  <c r="L37" i="22"/>
  <c r="K37" i="22"/>
  <c r="J37" i="22"/>
  <c r="L36" i="22"/>
  <c r="K36" i="22"/>
  <c r="J36" i="22"/>
  <c r="O27" i="22"/>
  <c r="L27" i="22"/>
  <c r="K27" i="22"/>
  <c r="J27" i="22"/>
  <c r="O11" i="22"/>
  <c r="O19" i="22"/>
  <c r="L3" i="22"/>
  <c r="L19" i="22"/>
  <c r="K3" i="22"/>
  <c r="K35" i="22"/>
  <c r="J3" i="22"/>
  <c r="L11" i="22"/>
  <c r="K11" i="22"/>
  <c r="J11" i="22"/>
  <c r="L41" i="22"/>
  <c r="K41" i="22"/>
  <c r="J41" i="22"/>
  <c r="O25" i="22"/>
  <c r="O24" i="22"/>
  <c r="O23" i="22"/>
  <c r="O22" i="22"/>
  <c r="O21" i="22"/>
  <c r="O20" i="22"/>
  <c r="M21" i="22"/>
  <c r="M20" i="22"/>
  <c r="L25" i="22"/>
  <c r="L24" i="22"/>
  <c r="L23" i="22"/>
  <c r="L22" i="22"/>
  <c r="L21" i="22"/>
  <c r="L20" i="22"/>
  <c r="K25" i="22"/>
  <c r="K24" i="22"/>
  <c r="K23" i="22"/>
  <c r="K22" i="22"/>
  <c r="K21" i="22"/>
  <c r="K20" i="22"/>
  <c r="J25" i="22"/>
  <c r="J24" i="22"/>
  <c r="J23" i="22"/>
  <c r="J22" i="22"/>
  <c r="J21" i="22"/>
  <c r="J20" i="22"/>
  <c r="AH16" i="1"/>
  <c r="AG16" i="1"/>
  <c r="AH14" i="1"/>
  <c r="AH12" i="1"/>
  <c r="AH8" i="1"/>
  <c r="AG8" i="1"/>
  <c r="AG12" i="1"/>
  <c r="AG14" i="1"/>
  <c r="AF8" i="1"/>
  <c r="AF12" i="1"/>
  <c r="AF14" i="1"/>
  <c r="AG5" i="1"/>
  <c r="AF5" i="1"/>
  <c r="AF9" i="1"/>
  <c r="AF10" i="1"/>
  <c r="AG9" i="1"/>
  <c r="AG10" i="1"/>
  <c r="AM8" i="1"/>
  <c r="AM12" i="1"/>
  <c r="AM14" i="1"/>
  <c r="R35" i="22"/>
  <c r="R38" i="22"/>
  <c r="R37" i="22"/>
  <c r="R41" i="22"/>
  <c r="R40" i="22"/>
  <c r="R39" i="22"/>
  <c r="R36" i="22"/>
  <c r="AA83" i="23"/>
  <c r="W83" i="23"/>
  <c r="L76" i="23"/>
  <c r="L77" i="23"/>
  <c r="AD70" i="23"/>
  <c r="AD77" i="23"/>
  <c r="AB70" i="23"/>
  <c r="AA70" i="23"/>
  <c r="Z70" i="23"/>
  <c r="Y70" i="23"/>
  <c r="W70" i="23"/>
  <c r="V70" i="23"/>
  <c r="U70" i="23"/>
  <c r="U77" i="23"/>
  <c r="T70" i="23"/>
  <c r="R70" i="23"/>
  <c r="R77" i="23"/>
  <c r="Q70" i="23"/>
  <c r="P70" i="23"/>
  <c r="O70" i="23"/>
  <c r="M70" i="23"/>
  <c r="L70" i="23"/>
  <c r="K70" i="23"/>
  <c r="J70" i="23"/>
  <c r="J77" i="23"/>
  <c r="H70" i="23"/>
  <c r="H77" i="23"/>
  <c r="G70" i="23"/>
  <c r="F70" i="23"/>
  <c r="E70" i="23"/>
  <c r="AD58" i="23"/>
  <c r="AB58" i="23"/>
  <c r="AA58" i="23"/>
  <c r="Z58" i="23"/>
  <c r="Z77" i="23"/>
  <c r="Y58" i="23"/>
  <c r="Y77" i="23"/>
  <c r="W58" i="23"/>
  <c r="V58" i="23"/>
  <c r="V77" i="23"/>
  <c r="U58" i="23"/>
  <c r="T58" i="23"/>
  <c r="R58" i="23"/>
  <c r="Q58" i="23"/>
  <c r="Q77" i="23"/>
  <c r="P58" i="23"/>
  <c r="P77" i="23"/>
  <c r="O58" i="23"/>
  <c r="O77" i="23"/>
  <c r="M58" i="23"/>
  <c r="M77" i="23"/>
  <c r="L58" i="23"/>
  <c r="K58" i="23"/>
  <c r="J58" i="23"/>
  <c r="H58" i="23"/>
  <c r="G58" i="23"/>
  <c r="G77" i="23"/>
  <c r="F58" i="23"/>
  <c r="E58" i="23"/>
  <c r="E77" i="23"/>
  <c r="AG42" i="23"/>
  <c r="AE42" i="23"/>
  <c r="AD42" i="23"/>
  <c r="AA42" i="23"/>
  <c r="Z42" i="23"/>
  <c r="AD30" i="23"/>
  <c r="AB30" i="23"/>
  <c r="AA30" i="23"/>
  <c r="Z30" i="23"/>
  <c r="Y30" i="23"/>
  <c r="Y37" i="23"/>
  <c r="W30" i="23"/>
  <c r="V30" i="23"/>
  <c r="U30" i="23"/>
  <c r="T30" i="23"/>
  <c r="R30" i="23"/>
  <c r="R37" i="23"/>
  <c r="Q30" i="23"/>
  <c r="P30" i="23"/>
  <c r="O30" i="23"/>
  <c r="M30" i="23"/>
  <c r="L30" i="23"/>
  <c r="K30" i="23"/>
  <c r="K37" i="23"/>
  <c r="J30" i="23"/>
  <c r="H30" i="23"/>
  <c r="H37" i="23"/>
  <c r="G30" i="23"/>
  <c r="F30" i="23"/>
  <c r="E30" i="23"/>
  <c r="AD18" i="23"/>
  <c r="AB18" i="23"/>
  <c r="AA18" i="23"/>
  <c r="AA37" i="23"/>
  <c r="Z18" i="23"/>
  <c r="W18" i="23"/>
  <c r="W37" i="23"/>
  <c r="V18" i="23"/>
  <c r="U18" i="23"/>
  <c r="T18" i="23"/>
  <c r="R18" i="23"/>
  <c r="Q18" i="23"/>
  <c r="Q37" i="23"/>
  <c r="P18" i="23"/>
  <c r="O18" i="23"/>
  <c r="O37" i="23"/>
  <c r="M18" i="23"/>
  <c r="M37" i="23"/>
  <c r="L18" i="23"/>
  <c r="L37" i="23"/>
  <c r="K18" i="23"/>
  <c r="J18" i="23"/>
  <c r="H18" i="23"/>
  <c r="G18" i="23"/>
  <c r="G37" i="23"/>
  <c r="F18" i="23"/>
  <c r="F37" i="23"/>
  <c r="E18" i="23"/>
  <c r="E37" i="23"/>
  <c r="Q39" i="22"/>
  <c r="F6" i="22"/>
  <c r="AM5" i="1"/>
  <c r="AM9" i="1"/>
  <c r="AM10" i="1"/>
  <c r="Q38" i="22"/>
  <c r="Q36" i="22"/>
  <c r="Q40" i="22"/>
  <c r="C3" i="22"/>
  <c r="C35" i="22"/>
  <c r="D10" i="22"/>
  <c r="E10" i="22"/>
  <c r="Q41" i="22"/>
  <c r="Q37" i="22"/>
  <c r="Q35" i="22"/>
  <c r="M5" i="20"/>
  <c r="Y5" i="20"/>
  <c r="Z5" i="20" s="1"/>
  <c r="AF5" i="20"/>
  <c r="AG5" i="20" s="1"/>
  <c r="M6" i="20"/>
  <c r="Y6" i="20"/>
  <c r="Z6" i="20" s="1"/>
  <c r="AA6" i="20" s="1"/>
  <c r="AF6" i="20"/>
  <c r="M7" i="20"/>
  <c r="Y7" i="20"/>
  <c r="Z7" i="20" s="1"/>
  <c r="AA7" i="20" s="1"/>
  <c r="AF7" i="20"/>
  <c r="AG7" i="20" s="1"/>
  <c r="M8" i="20"/>
  <c r="Y8" i="20"/>
  <c r="Z8" i="20" s="1"/>
  <c r="AA8" i="20" s="1"/>
  <c r="AF8" i="20"/>
  <c r="AG8" i="20" s="1"/>
  <c r="M9" i="20"/>
  <c r="Y9" i="20"/>
  <c r="Z9" i="20" s="1"/>
  <c r="AA9" i="20" s="1"/>
  <c r="AF9" i="20"/>
  <c r="AG9" i="20" s="1"/>
  <c r="AE43" i="20"/>
  <c r="X43" i="20"/>
  <c r="V43" i="20"/>
  <c r="S43" i="20"/>
  <c r="R43" i="20"/>
  <c r="Q43" i="20"/>
  <c r="O43" i="20"/>
  <c r="K43" i="20"/>
  <c r="L43" i="20"/>
  <c r="J43" i="20"/>
  <c r="AE29" i="20"/>
  <c r="X29" i="20"/>
  <c r="V29" i="20"/>
  <c r="S29" i="20"/>
  <c r="R29" i="20"/>
  <c r="Q29" i="20"/>
  <c r="L29" i="20"/>
  <c r="K29" i="20"/>
  <c r="J29" i="20"/>
  <c r="H29" i="20"/>
  <c r="D29" i="20"/>
  <c r="E29" i="20"/>
  <c r="F29" i="20"/>
  <c r="C29" i="20"/>
  <c r="AE12" i="20"/>
  <c r="X12" i="20"/>
  <c r="V12" i="20"/>
  <c r="R12" i="20"/>
  <c r="S12" i="20"/>
  <c r="Q12" i="20"/>
  <c r="K12" i="20"/>
  <c r="L12" i="20"/>
  <c r="J12" i="20"/>
  <c r="H12" i="20"/>
  <c r="D12" i="20"/>
  <c r="E12" i="20"/>
  <c r="F12" i="20"/>
  <c r="C12" i="20"/>
  <c r="AE4" i="20"/>
  <c r="X4" i="20"/>
  <c r="V4" i="20"/>
  <c r="R4" i="20"/>
  <c r="S4" i="20"/>
  <c r="Q4" i="20"/>
  <c r="L4" i="20"/>
  <c r="K4" i="20"/>
  <c r="AA49" i="20"/>
  <c r="AH49" i="20"/>
  <c r="F66" i="22"/>
  <c r="F62" i="22"/>
  <c r="F65" i="22"/>
  <c r="F64" i="22"/>
  <c r="F63" i="22"/>
  <c r="F61" i="22"/>
  <c r="F60" i="22"/>
  <c r="F30" i="22"/>
  <c r="F38" i="22"/>
  <c r="F34" i="22"/>
  <c r="F7" i="22"/>
  <c r="F4" i="22"/>
  <c r="F32" i="22"/>
  <c r="F31" i="22"/>
  <c r="F29" i="22"/>
  <c r="F27" i="22"/>
  <c r="F17" i="22"/>
  <c r="F16" i="22"/>
  <c r="F15" i="22"/>
  <c r="F14" i="22"/>
  <c r="F13" i="22"/>
  <c r="F12" i="22"/>
  <c r="F11" i="22"/>
  <c r="F9" i="22"/>
  <c r="F8" i="22"/>
  <c r="F5" i="22"/>
  <c r="M64" i="22"/>
  <c r="M61" i="22"/>
  <c r="M66" i="22"/>
  <c r="M65" i="22"/>
  <c r="M63" i="22"/>
  <c r="M62" i="22"/>
  <c r="F33" i="22"/>
  <c r="F28" i="22"/>
  <c r="M14" i="22"/>
  <c r="M17" i="22"/>
  <c r="M7" i="22"/>
  <c r="M32" i="22"/>
  <c r="M31" i="22"/>
  <c r="M29" i="22"/>
  <c r="M37" i="22"/>
  <c r="M16" i="22"/>
  <c r="M15" i="22"/>
  <c r="M9" i="22"/>
  <c r="M8" i="22"/>
  <c r="M6" i="22"/>
  <c r="U14" i="1"/>
  <c r="U13" i="1"/>
  <c r="U12" i="1"/>
  <c r="U11" i="1"/>
  <c r="U16" i="1"/>
  <c r="U8" i="1"/>
  <c r="U9" i="1"/>
  <c r="U10" i="1"/>
  <c r="U7" i="1"/>
  <c r="U6" i="1"/>
  <c r="U4" i="1"/>
  <c r="U5" i="1"/>
  <c r="U3" i="1"/>
  <c r="E36" i="22"/>
  <c r="E37" i="22"/>
  <c r="E38" i="22"/>
  <c r="E40" i="22"/>
  <c r="E41" i="22"/>
  <c r="D36" i="22"/>
  <c r="D37" i="22"/>
  <c r="D38" i="22"/>
  <c r="D40" i="22"/>
  <c r="D41" i="22"/>
  <c r="C36" i="22"/>
  <c r="C37" i="22"/>
  <c r="C38" i="22"/>
  <c r="C40" i="22"/>
  <c r="C41" i="22"/>
  <c r="Y10" i="1"/>
  <c r="AB16" i="1"/>
  <c r="AB9" i="1"/>
  <c r="AB10" i="1"/>
  <c r="AA16" i="1"/>
  <c r="AD16" i="1"/>
  <c r="Z16" i="1"/>
  <c r="Z9" i="1"/>
  <c r="Y16" i="1"/>
  <c r="AG41" i="20"/>
  <c r="AG40" i="20"/>
  <c r="AG25" i="20"/>
  <c r="AG48" i="20"/>
  <c r="AF47" i="20"/>
  <c r="AG47" i="20" s="1"/>
  <c r="AF45" i="20"/>
  <c r="AG45" i="20" s="1"/>
  <c r="AH45" i="20" s="1"/>
  <c r="AF46" i="20"/>
  <c r="AG46" i="20"/>
  <c r="AF44" i="20"/>
  <c r="AG44" i="20"/>
  <c r="AH44" i="20" s="1"/>
  <c r="AF37" i="20"/>
  <c r="AG37" i="20" s="1"/>
  <c r="AF36" i="20"/>
  <c r="AG36" i="20" s="1"/>
  <c r="AH36" i="20" s="1"/>
  <c r="AF35" i="20"/>
  <c r="AG35" i="20" s="1"/>
  <c r="AH35" i="20" s="1"/>
  <c r="AF34" i="20"/>
  <c r="AG34" i="20" s="1"/>
  <c r="AF31" i="20"/>
  <c r="AG31" i="20"/>
  <c r="AH31" i="20" s="1"/>
  <c r="AF30" i="20"/>
  <c r="AG30" i="20"/>
  <c r="AH30" i="20" s="1"/>
  <c r="AF17" i="20"/>
  <c r="AG17" i="20" s="1"/>
  <c r="AF18" i="20"/>
  <c r="AG18" i="20" s="1"/>
  <c r="AF21" i="20"/>
  <c r="AG21" i="20" s="1"/>
  <c r="AH21" i="20" s="1"/>
  <c r="AF16" i="20"/>
  <c r="AF15" i="20"/>
  <c r="AG15" i="20" s="1"/>
  <c r="AF14" i="20"/>
  <c r="AG14" i="20" s="1"/>
  <c r="AF13" i="20"/>
  <c r="AG13" i="20" s="1"/>
  <c r="AF11" i="20"/>
  <c r="AG11" i="20" s="1"/>
  <c r="AH11" i="20" s="1"/>
  <c r="AF10" i="20"/>
  <c r="AG10" i="20" s="1"/>
  <c r="AH10" i="20" s="1"/>
  <c r="AF3" i="20"/>
  <c r="AG3" i="20"/>
  <c r="AH3" i="20" s="1"/>
  <c r="AF2" i="20"/>
  <c r="AG2" i="20" s="1"/>
  <c r="AH2" i="20" s="1"/>
  <c r="AF48" i="20"/>
  <c r="Z48" i="20"/>
  <c r="Z39" i="20"/>
  <c r="Z38" i="20"/>
  <c r="Z35" i="20"/>
  <c r="AA35" i="20" s="1"/>
  <c r="Y48" i="20"/>
  <c r="Y47" i="20"/>
  <c r="Z47" i="20" s="1"/>
  <c r="Y46" i="20"/>
  <c r="Z46" i="20" s="1"/>
  <c r="Y45" i="20"/>
  <c r="Z45" i="20" s="1"/>
  <c r="AA45" i="20" s="1"/>
  <c r="Y44" i="20"/>
  <c r="Z44" i="20" s="1"/>
  <c r="AA44" i="20" s="1"/>
  <c r="Y37" i="20"/>
  <c r="Z37" i="20" s="1"/>
  <c r="Y36" i="20"/>
  <c r="Z36" i="20" s="1"/>
  <c r="AA36" i="20" s="1"/>
  <c r="Y31" i="20"/>
  <c r="Y30" i="20"/>
  <c r="Z30" i="20" s="1"/>
  <c r="AA30" i="20" s="1"/>
  <c r="Y26" i="20"/>
  <c r="Z26" i="20" s="1"/>
  <c r="Y24" i="20"/>
  <c r="Z24" i="20" s="1"/>
  <c r="Y21" i="20"/>
  <c r="Z21" i="20" s="1"/>
  <c r="AA21" i="20" s="1"/>
  <c r="Y17" i="20"/>
  <c r="Z17" i="20"/>
  <c r="Y16" i="20"/>
  <c r="Z16" i="20"/>
  <c r="AA16" i="20" s="1"/>
  <c r="AA12" i="20" s="1"/>
  <c r="Y15" i="20"/>
  <c r="Z15" i="20" s="1"/>
  <c r="Y14" i="20"/>
  <c r="Y13" i="20"/>
  <c r="Z13" i="20" s="1"/>
  <c r="Y11" i="20"/>
  <c r="Z11" i="20" s="1"/>
  <c r="AA11" i="20" s="1"/>
  <c r="Y10" i="20"/>
  <c r="Z10" i="20" s="1"/>
  <c r="AA10" i="20" s="1"/>
  <c r="Y3" i="20"/>
  <c r="Z3" i="20" s="1"/>
  <c r="AA3" i="20" s="1"/>
  <c r="Y2" i="20"/>
  <c r="Z2" i="20" s="1"/>
  <c r="AA2" i="20" s="1"/>
  <c r="AH9" i="1"/>
  <c r="AH10" i="1"/>
  <c r="AH5" i="1"/>
  <c r="AA5" i="1"/>
  <c r="O44" i="20"/>
  <c r="M44" i="20" s="1"/>
  <c r="AA30" i="19"/>
  <c r="AD11" i="1"/>
  <c r="Z5" i="1"/>
  <c r="AD3" i="1"/>
  <c r="M49" i="20"/>
  <c r="R48" i="20"/>
  <c r="M48" i="20"/>
  <c r="K48" i="20"/>
  <c r="M47" i="20"/>
  <c r="M46" i="20"/>
  <c r="M37" i="20"/>
  <c r="M36" i="20"/>
  <c r="M35" i="20"/>
  <c r="M34" i="20"/>
  <c r="M33" i="20"/>
  <c r="M32" i="20"/>
  <c r="M31" i="20"/>
  <c r="M27" i="20"/>
  <c r="M26" i="20"/>
  <c r="M24" i="20"/>
  <c r="M23" i="20"/>
  <c r="M22" i="20"/>
  <c r="O21" i="20"/>
  <c r="O29" i="20" s="1"/>
  <c r="M20" i="20"/>
  <c r="M19" i="20"/>
  <c r="M17" i="20"/>
  <c r="M15" i="20"/>
  <c r="M14" i="20"/>
  <c r="M13" i="20"/>
  <c r="O11" i="20"/>
  <c r="M11" i="20" s="1"/>
  <c r="M10" i="20"/>
  <c r="M3" i="20"/>
  <c r="M2" i="20"/>
  <c r="AD12" i="1"/>
  <c r="AD13" i="1"/>
  <c r="AD14" i="1"/>
  <c r="AD7" i="1"/>
  <c r="AD8" i="1"/>
  <c r="AD6" i="1"/>
  <c r="AD4" i="1"/>
  <c r="AD5" i="1"/>
  <c r="W9" i="1"/>
  <c r="W10" i="1"/>
  <c r="W5" i="1"/>
  <c r="T5" i="1"/>
  <c r="L16" i="1"/>
  <c r="M16" i="1"/>
  <c r="L7" i="1"/>
  <c r="J4" i="1"/>
  <c r="J5" i="1"/>
  <c r="K4" i="1"/>
  <c r="K5" i="1"/>
  <c r="S9" i="1"/>
  <c r="S10" i="1"/>
  <c r="S5" i="1"/>
  <c r="Q9" i="1"/>
  <c r="Q10" i="1"/>
  <c r="R9" i="1"/>
  <c r="R10" i="1"/>
  <c r="Q5" i="1"/>
  <c r="R5" i="1"/>
  <c r="L5" i="1"/>
  <c r="M5" i="1"/>
  <c r="O6" i="1"/>
  <c r="O3" i="1"/>
  <c r="K9" i="1"/>
  <c r="K10" i="1"/>
  <c r="J9" i="1"/>
  <c r="J10" i="1"/>
  <c r="T10" i="1"/>
  <c r="T16" i="1"/>
  <c r="M9" i="1"/>
  <c r="M10" i="1"/>
  <c r="O16" i="1"/>
  <c r="O9" i="1"/>
  <c r="O10" i="1"/>
  <c r="Z10" i="1"/>
  <c r="AA9" i="1"/>
  <c r="AA10" i="1"/>
  <c r="L9" i="1"/>
  <c r="L10" i="1"/>
  <c r="O4" i="1"/>
  <c r="O5" i="1"/>
  <c r="M30" i="22"/>
  <c r="M33" i="22"/>
  <c r="O30" i="20"/>
  <c r="M30" i="20" s="1"/>
  <c r="AD9" i="1"/>
  <c r="AD10" i="1"/>
  <c r="M28" i="22"/>
  <c r="M36" i="22"/>
  <c r="F36" i="22"/>
  <c r="M60" i="22"/>
  <c r="M11" i="22"/>
  <c r="M41" i="22"/>
  <c r="F24" i="22"/>
  <c r="F25" i="22"/>
  <c r="F22" i="22"/>
  <c r="F37" i="22"/>
  <c r="K19" i="22"/>
  <c r="F20" i="22"/>
  <c r="F21" i="22"/>
  <c r="F40" i="22"/>
  <c r="J19" i="22"/>
  <c r="J35" i="22"/>
  <c r="F41" i="22"/>
  <c r="M40" i="22"/>
  <c r="M25" i="22"/>
  <c r="D3" i="22"/>
  <c r="D35" i="22"/>
  <c r="F10" i="22"/>
  <c r="E3" i="22"/>
  <c r="M22" i="22"/>
  <c r="M27" i="22"/>
  <c r="O35" i="22"/>
  <c r="L35" i="22"/>
  <c r="M3" i="22"/>
  <c r="M19" i="22"/>
  <c r="M39" i="22"/>
  <c r="T35" i="22"/>
  <c r="T19" i="22"/>
  <c r="M24" i="22"/>
  <c r="M23" i="22"/>
  <c r="M38" i="22"/>
  <c r="M35" i="22"/>
  <c r="E35" i="22"/>
  <c r="F3" i="22"/>
  <c r="F35" i="22"/>
  <c r="F19" i="22"/>
  <c r="X24" i="22"/>
  <c r="X21" i="22"/>
  <c r="X23" i="22"/>
  <c r="X22" i="22"/>
  <c r="AT5" i="1"/>
  <c r="AT9" i="1"/>
  <c r="AT10" i="1"/>
  <c r="AL70" i="23"/>
  <c r="AL77" i="23"/>
  <c r="V37" i="23"/>
  <c r="AI37" i="23"/>
  <c r="AV5" i="1"/>
  <c r="T77" i="23"/>
  <c r="AN58" i="23"/>
  <c r="AN77" i="23"/>
  <c r="AN70" i="23"/>
  <c r="W77" i="23"/>
  <c r="AN18" i="23"/>
  <c r="AN37" i="23"/>
  <c r="AN30" i="23"/>
  <c r="AA77" i="23"/>
  <c r="AO77" i="23"/>
  <c r="AP18" i="23"/>
  <c r="AP37" i="23"/>
  <c r="P37" i="23"/>
  <c r="AI77" i="23"/>
  <c r="AP58" i="23"/>
  <c r="AP77" i="23"/>
  <c r="AG16" i="20"/>
  <c r="AH16" i="20" s="1"/>
  <c r="BA5" i="1"/>
  <c r="BB10" i="1"/>
  <c r="AB37" i="23"/>
  <c r="AB77" i="23"/>
  <c r="AD37" i="23"/>
  <c r="J37" i="23"/>
  <c r="T37" i="23"/>
  <c r="K77" i="23"/>
  <c r="U37" i="23"/>
  <c r="F77" i="23"/>
  <c r="AL37" i="23"/>
  <c r="Z37" i="23"/>
  <c r="AO37" i="23"/>
  <c r="Y43" i="20" l="1"/>
  <c r="O16" i="20"/>
  <c r="Y12" i="20"/>
  <c r="M21" i="20"/>
  <c r="M29" i="20" s="1"/>
  <c r="AG12" i="20"/>
  <c r="Z31" i="20"/>
  <c r="AA31" i="20" s="1"/>
  <c r="AG43" i="20"/>
  <c r="M43" i="20"/>
  <c r="AF43" i="20"/>
  <c r="Z29" i="20"/>
  <c r="Y29" i="20"/>
  <c r="O45" i="20"/>
  <c r="M45" i="20" s="1"/>
  <c r="AF29" i="20"/>
  <c r="AG29" i="20"/>
  <c r="Z14" i="20"/>
  <c r="Z12" i="20" s="1"/>
  <c r="AF12" i="20"/>
  <c r="M16" i="20"/>
  <c r="M12" i="20" s="1"/>
  <c r="O12" i="20"/>
  <c r="M4" i="20"/>
  <c r="AF4" i="20"/>
  <c r="AA5" i="20"/>
  <c r="Z4" i="20"/>
  <c r="Y4" i="20"/>
  <c r="AG6" i="20"/>
  <c r="AG4" i="20" s="1"/>
  <c r="AA29" i="20" l="1"/>
  <c r="AH43" i="20"/>
  <c r="AH29" i="20"/>
  <c r="AH12" i="20"/>
  <c r="AH4" i="20"/>
  <c r="Z43" i="20"/>
  <c r="AA43" i="20" s="1"/>
  <c r="AA4" i="20"/>
</calcChain>
</file>

<file path=xl/sharedStrings.xml><?xml version="1.0" encoding="utf-8"?>
<sst xmlns="http://schemas.openxmlformats.org/spreadsheetml/2006/main" count="880" uniqueCount="357">
  <si>
    <t>2020/21</t>
  </si>
  <si>
    <t>PL (liczba sklepów)</t>
  </si>
  <si>
    <t>ENG (store count)</t>
  </si>
  <si>
    <t>30.06.2018</t>
  </si>
  <si>
    <t>30.09.2018</t>
  </si>
  <si>
    <t>31.12.2018</t>
  </si>
  <si>
    <t>31.03.2019</t>
  </si>
  <si>
    <t>Własne CCC</t>
  </si>
  <si>
    <t xml:space="preserve">   Polska</t>
  </si>
  <si>
    <t xml:space="preserve">   Poland</t>
  </si>
  <si>
    <t xml:space="preserve">   Czechy</t>
  </si>
  <si>
    <t xml:space="preserve">   Czech Republic</t>
  </si>
  <si>
    <t xml:space="preserve">   Węgry</t>
  </si>
  <si>
    <t xml:space="preserve">   Hungary</t>
  </si>
  <si>
    <t xml:space="preserve">   Austria</t>
  </si>
  <si>
    <t xml:space="preserve">   Słowacja</t>
  </si>
  <si>
    <t xml:space="preserve">   Slovakia</t>
  </si>
  <si>
    <t xml:space="preserve">   Chorwacja</t>
  </si>
  <si>
    <t xml:space="preserve">   Croatia</t>
  </si>
  <si>
    <t xml:space="preserve">   Rosja</t>
  </si>
  <si>
    <t xml:space="preserve">   Russia</t>
  </si>
  <si>
    <t xml:space="preserve">   Słowenia</t>
  </si>
  <si>
    <t xml:space="preserve">   Slovenia</t>
  </si>
  <si>
    <t xml:space="preserve">   Bułgaria</t>
  </si>
  <si>
    <t xml:space="preserve">   Bulgaria</t>
  </si>
  <si>
    <t xml:space="preserve">   Serbia</t>
  </si>
  <si>
    <t xml:space="preserve">   Rumunia</t>
  </si>
  <si>
    <t xml:space="preserve">   Romania</t>
  </si>
  <si>
    <t>-</t>
  </si>
  <si>
    <t xml:space="preserve">   Ukraina</t>
  </si>
  <si>
    <t xml:space="preserve">   Ukraine</t>
  </si>
  <si>
    <t xml:space="preserve">   Łotwa</t>
  </si>
  <si>
    <t xml:space="preserve">   Latvia</t>
  </si>
  <si>
    <t xml:space="preserve">   Litwa</t>
  </si>
  <si>
    <t xml:space="preserve">   Lithuania</t>
  </si>
  <si>
    <t xml:space="preserve">   Estonia</t>
  </si>
  <si>
    <t xml:space="preserve">   Mołdawia</t>
  </si>
  <si>
    <t xml:space="preserve">   Moldova</t>
  </si>
  <si>
    <t xml:space="preserve">   Kosowo</t>
  </si>
  <si>
    <t xml:space="preserve">   Kosovo</t>
  </si>
  <si>
    <t xml:space="preserve">   Katar</t>
  </si>
  <si>
    <t xml:space="preserve">   Qatar</t>
  </si>
  <si>
    <t xml:space="preserve">   Zjednoczone Emiraty Arabskie</t>
  </si>
  <si>
    <t xml:space="preserve">   United Arab Emirates</t>
  </si>
  <si>
    <t xml:space="preserve">   Arabia Saudyjska</t>
  </si>
  <si>
    <t xml:space="preserve">   Saudi Arabia</t>
  </si>
  <si>
    <t xml:space="preserve">   Oman</t>
  </si>
  <si>
    <t xml:space="preserve">   Bahrajn</t>
  </si>
  <si>
    <t xml:space="preserve">   Bahrain</t>
  </si>
  <si>
    <t>RAZEM FRANCZYZA</t>
  </si>
  <si>
    <t>TOTAL FRANCHISE</t>
  </si>
  <si>
    <t xml:space="preserve">   eobuwie.pl</t>
  </si>
  <si>
    <t xml:space="preserve">   HalfPrice</t>
  </si>
  <si>
    <t xml:space="preserve">   KVAG</t>
  </si>
  <si>
    <t xml:space="preserve">   Gino Rossi</t>
  </si>
  <si>
    <t>RAZEM</t>
  </si>
  <si>
    <t>TOTAL</t>
  </si>
  <si>
    <t>RAZEM LICZBA RYNKÓW</t>
  </si>
  <si>
    <t>TOTAL NUMBER OF MARKETS</t>
  </si>
  <si>
    <t>działalność zaniechana - KVAG</t>
  </si>
  <si>
    <t>discontinued operations - KVAG</t>
  </si>
  <si>
    <r>
      <t>PL (m</t>
    </r>
    <r>
      <rPr>
        <sz val="11"/>
        <color theme="1"/>
        <rFont val="Calibri"/>
        <family val="2"/>
        <charset val="238"/>
      </rPr>
      <t>²)</t>
    </r>
  </si>
  <si>
    <t>ENG (sqm)</t>
  </si>
  <si>
    <t>31.03.2018</t>
  </si>
  <si>
    <t>MODIVO</t>
  </si>
  <si>
    <t xml:space="preserve">PL </t>
  </si>
  <si>
    <t>ENG</t>
  </si>
  <si>
    <t>e-com</t>
  </si>
  <si>
    <t>Przychód e-commerce (mln PLN)</t>
  </si>
  <si>
    <t>e-commerce revenues (M PLN)</t>
  </si>
  <si>
    <t>Udział e-commerce (%)</t>
  </si>
  <si>
    <t>e-commerce share (%)</t>
  </si>
  <si>
    <t>PL (mln PLN)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</si>
  <si>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</si>
  <si>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</si>
  <si>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</si>
  <si>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</si>
  <si>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</si>
  <si>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</si>
  <si>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</si>
  <si>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</si>
  <si>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</si>
  <si>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</si>
  <si>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</si>
  <si>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r>
      <t>Q4 2020</t>
    </r>
    <r>
      <rPr>
        <b/>
        <sz val="11"/>
        <color theme="1"/>
        <rFont val="Calibri"/>
        <family val="2"/>
        <charset val="238"/>
      </rPr>
      <t>¹</t>
    </r>
    <r>
      <rPr>
        <b/>
        <sz val="11"/>
        <color theme="1"/>
        <rFont val="Calibri"/>
        <family val="2"/>
        <charset val="238"/>
        <scheme val="minor"/>
      </rPr>
      <t xml:space="preserve">
(3M prelim)</t>
    </r>
  </si>
  <si>
    <t>Przychody ze sprzedaży</t>
  </si>
  <si>
    <t>Zysk brutto na sprzedaży</t>
  </si>
  <si>
    <t>Gross profit on sales</t>
  </si>
  <si>
    <t>Marża brutto</t>
  </si>
  <si>
    <t>Gross margin</t>
  </si>
  <si>
    <t>   Koszty sprzedaży i ogólnego zarządu</t>
  </si>
  <si>
    <t xml:space="preserve">   Sales and administration costs</t>
  </si>
  <si>
    <t>N/A</t>
  </si>
  <si>
    <t>   Pozostałe przychody i koszty operacyjne</t>
  </si>
  <si>
    <t>Wynik operacyjny</t>
  </si>
  <si>
    <t>Operating profit</t>
  </si>
  <si>
    <t>   EBITDA</t>
  </si>
  <si>
    <t>   Marża EBITDA</t>
  </si>
  <si>
    <t>   EBITDA margin</t>
  </si>
  <si>
    <t>   Przychody i koszty finansowe netto</t>
  </si>
  <si>
    <t>Zysk przed opodatkowaniem</t>
  </si>
  <si>
    <t>Profit before tax</t>
  </si>
  <si>
    <t>   Podatek</t>
  </si>
  <si>
    <t>   Income tax</t>
  </si>
  <si>
    <t>Amortyzacja</t>
  </si>
  <si>
    <t>Amortization</t>
  </si>
  <si>
    <r>
      <rPr>
        <sz val="10"/>
        <color theme="1"/>
        <rFont val="Calibri"/>
        <family val="2"/>
        <charset val="238"/>
      </rPr>
      <t>¹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3 miesięczny 2020 roku
</t>
    </r>
    <r>
      <rPr>
        <sz val="10"/>
        <color theme="1"/>
        <rFont val="Calibri"/>
        <family val="2"/>
        <charset val="238"/>
      </rPr>
      <t>¹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3 months of 2020</t>
    </r>
  </si>
  <si>
    <t>2020*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</si>
  <si>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</si>
  <si>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</si>
  <si>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</si>
  <si>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</si>
  <si>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</si>
  <si>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</si>
  <si>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</si>
  <si>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31.12.2020*</t>
  </si>
  <si>
    <t>AKTYWA</t>
  </si>
  <si>
    <t>ASSETS</t>
  </si>
  <si>
    <t>Wartości niematerialne</t>
  </si>
  <si>
    <t>Intangible assets</t>
  </si>
  <si>
    <t>Wartość firmy</t>
  </si>
  <si>
    <t>Goodwill</t>
  </si>
  <si>
    <t>Prawo do użytkowania aktywa</t>
  </si>
  <si>
    <t>Aktywa z tytułu podatku odroczonego</t>
  </si>
  <si>
    <t>Udzielone pożyczki</t>
  </si>
  <si>
    <t>Loans granted</t>
  </si>
  <si>
    <t>Trade receivables</t>
  </si>
  <si>
    <t>Aktywa trwałe</t>
  </si>
  <si>
    <t>Total non-current assets</t>
  </si>
  <si>
    <t>Zapasy</t>
  </si>
  <si>
    <t>Inventories</t>
  </si>
  <si>
    <t>Pozostałe należności</t>
  </si>
  <si>
    <t>Other receivables</t>
  </si>
  <si>
    <t>Środki pieniężne</t>
  </si>
  <si>
    <t>Cash and cash equivalents</t>
  </si>
  <si>
    <t>Aktywa obrotowe</t>
  </si>
  <si>
    <t>Total current assets</t>
  </si>
  <si>
    <t>Aktywa grupy do zbycia przeznaczone do sprzedaży</t>
  </si>
  <si>
    <t>Assets classified as held for sale</t>
  </si>
  <si>
    <t>SUMA AKTYWÓW</t>
  </si>
  <si>
    <t>TOTAL ASSETS</t>
  </si>
  <si>
    <t>PASYWA</t>
  </si>
  <si>
    <t>LIABILITIES</t>
  </si>
  <si>
    <t>Zobowiązania z tytułu obowiązeku wykupu udziałów niekontrolujących</t>
  </si>
  <si>
    <t>Zobowiązania z tytułu leasingu</t>
  </si>
  <si>
    <t>Lease liabilities</t>
  </si>
  <si>
    <t>Zobowiązania długoterminowe</t>
  </si>
  <si>
    <t>Total non-current liabilities</t>
  </si>
  <si>
    <t>Pozostałe zobowiązania</t>
  </si>
  <si>
    <t>Other liabilities</t>
  </si>
  <si>
    <t>Zobowiązania krótkoterminowe</t>
  </si>
  <si>
    <t>Total current liabilities</t>
  </si>
  <si>
    <t>Zobowiązania związane z grupą do zbycia</t>
  </si>
  <si>
    <t>Liabilities directly associated with assets classified as held for sale</t>
  </si>
  <si>
    <t>ZOBOWIĄZANIA RAZEM</t>
  </si>
  <si>
    <t>TOTAL LIABILITIES</t>
  </si>
  <si>
    <t>Razem kapitały własne</t>
  </si>
  <si>
    <t>Total equity</t>
  </si>
  <si>
    <t>SUMA PASYWÓW</t>
  </si>
  <si>
    <t>Q4 2020*</t>
  </si>
  <si>
    <t xml:space="preserve">   Amortyzacja</t>
  </si>
  <si>
    <t xml:space="preserve">   Amortization and depreciation</t>
  </si>
  <si>
    <t xml:space="preserve">   Odpisy aktualizujące wartosc środków trwałych</t>
  </si>
  <si>
    <t xml:space="preserve">   Impairment on fixed assets</t>
  </si>
  <si>
    <t xml:space="preserve">   Strata na działalności inwestycyjnej</t>
  </si>
  <si>
    <t>Udział w jednostkach stowarzyszonych</t>
  </si>
  <si>
    <t xml:space="preserve">   Koszty finansowania zewnętrznego</t>
  </si>
  <si>
    <t xml:space="preserve">   Pozostałe korekty zysku przed opodatkowaniem</t>
  </si>
  <si>
    <t xml:space="preserve">   Podatek dochodowy zapłacony</t>
  </si>
  <si>
    <t>Cash flow before changes in working capital</t>
  </si>
  <si>
    <t>Zmiany w kapitale obrotowym</t>
  </si>
  <si>
    <t>Changes in working capital</t>
  </si>
  <si>
    <t xml:space="preserve">   Zmiana stanu zapasów i odpisów aktualizujących zapasy</t>
  </si>
  <si>
    <t xml:space="preserve">   Change in inventory and inventory write-downs</t>
  </si>
  <si>
    <t>   Zmiana stanu należności</t>
  </si>
  <si>
    <t xml:space="preserve">   Change in receivables</t>
  </si>
  <si>
    <t>   Zmiana stanu zobowiązań krótkoterminowych, z wyjątkiem pożyczek i kredytów</t>
  </si>
  <si>
    <t xml:space="preserve">   Change in current liabilities, excluding borrowings</t>
  </si>
  <si>
    <t>Przepływy pieniężne netto z działalności operacyjnej</t>
  </si>
  <si>
    <t>Net cash flows from operating activities</t>
  </si>
  <si>
    <t>   Wpływy ze sprzedaży rzeczowych aktywów trwałych</t>
  </si>
  <si>
    <t xml:space="preserve">   Spłaty pożyczek udzielonych i odsetek</t>
  </si>
  <si>
    <t xml:space="preserve">   Repayment of loans granted and interest</t>
  </si>
  <si>
    <t>Inne wpływy inwestycyjne</t>
  </si>
  <si>
    <t>Other investment income</t>
  </si>
  <si>
    <t xml:space="preserve">   Pożyczki udzielone*</t>
  </si>
  <si>
    <t>Inne wydatki inwestycyjne</t>
  </si>
  <si>
    <t xml:space="preserve">   Wydatki związane z nabyciem spółki Gino Rossi SA </t>
  </si>
  <si>
    <t>Przepływy pieniężne netto z działalności inwestycyjnej</t>
  </si>
  <si>
    <t>Net cash flows from investing activities</t>
  </si>
  <si>
    <t xml:space="preserve">   Wpływy z tytułu zaciągnięcia kredytów i pożyczek</t>
  </si>
  <si>
    <t xml:space="preserve">   Proceeds from borrowings</t>
  </si>
  <si>
    <t xml:space="preserve">   Emisja obligacji</t>
  </si>
  <si>
    <t xml:space="preserve">   Issue of bonds</t>
  </si>
  <si>
    <t xml:space="preserve">   Wykup obligacji</t>
  </si>
  <si>
    <t xml:space="preserve">   Repayment of bonds</t>
  </si>
  <si>
    <t xml:space="preserve">   Dywidendy i inne wypłaty na rzecz włascicieli</t>
  </si>
  <si>
    <t xml:space="preserve">   Dividends and other payments to owners</t>
  </si>
  <si>
    <t xml:space="preserve">   Spłaty kredytów i pożyczek</t>
  </si>
  <si>
    <t xml:space="preserve">   Repayment of borrowings</t>
  </si>
  <si>
    <t xml:space="preserve">   Płatności z tytułu leasingu</t>
  </si>
  <si>
    <t xml:space="preserve">   Odsetki zapłacone</t>
  </si>
  <si>
    <t>Przepływy pieniężne netto z działalności finansowej</t>
  </si>
  <si>
    <t>Net cash flows from finance activities</t>
  </si>
  <si>
    <t>PRZEPŁYWY PIENIĘŻNE RAZEM</t>
  </si>
  <si>
    <t>TOTAL CASH FLOWS</t>
  </si>
  <si>
    <t xml:space="preserve">   Zwiększenie/zmniejszenie netto stanu środków pieniężnych i ekwiwalentów środków pieniężnych </t>
  </si>
  <si>
    <t xml:space="preserve">   Net increase/decrease of cash and cash equivalents</t>
  </si>
  <si>
    <t xml:space="preserve">      Zmiana z tytułu różnic kursowych z wyceny środków pieniężnych i ich ekwiwalentów</t>
  </si>
  <si>
    <t xml:space="preserve">   Exchange rate changes on cash and cash equivalents</t>
  </si>
  <si>
    <t>Środki pieniężne i ich ekwiwalenty na początek okresu</t>
  </si>
  <si>
    <t>Cash and cash equivalents at beginning of period</t>
  </si>
  <si>
    <t>Środki pieniężne i ich ekwiwalenty na koniec okresu</t>
  </si>
  <si>
    <t>Cash and cash equivalents at the end of period</t>
  </si>
  <si>
    <t>Rzeczowe aktywa trwałe</t>
  </si>
  <si>
    <t>Tangible fixed assets</t>
  </si>
  <si>
    <t>Right to use assets</t>
  </si>
  <si>
    <t>Deffered tax assets</t>
  </si>
  <si>
    <t>Należności handlowe</t>
  </si>
  <si>
    <t>Debt liabilities</t>
  </si>
  <si>
    <t>Obligation to repurchase non-controlling interests</t>
  </si>
  <si>
    <t>Zobowiązania wobec dostawców</t>
  </si>
  <si>
    <t>Trade liabilities</t>
  </si>
  <si>
    <t>HalfPrice</t>
  </si>
  <si>
    <t>FY 2020
(13M )</t>
  </si>
  <si>
    <r>
      <rPr>
        <sz val="10"/>
        <color theme="1"/>
        <rFont val="Calibri"/>
        <family val="2"/>
        <charset val="238"/>
      </rPr>
      <t>²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4 miesięczny roku obrotowego 2020
</t>
    </r>
    <r>
      <rPr>
        <sz val="10"/>
        <color theme="1"/>
        <rFont val="Calibri"/>
        <family val="2"/>
        <charset val="238"/>
      </rPr>
      <t>²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4 months of 2020 fiscal year</t>
    </r>
  </si>
  <si>
    <t>FY 2020
(12M )</t>
  </si>
  <si>
    <t>Q1 2021</t>
  </si>
  <si>
    <t>Q2 2021</t>
  </si>
  <si>
    <t>Q3 2021</t>
  </si>
  <si>
    <t>Q4 2021</t>
  </si>
  <si>
    <t>FY 2021</t>
  </si>
  <si>
    <t>FY 2020*</t>
  </si>
  <si>
    <t>FY 2020 (13M)</t>
  </si>
  <si>
    <t>Q4 2020</t>
  </si>
  <si>
    <t>FY 2020 (12M)</t>
  </si>
  <si>
    <t xml:space="preserve">   Loss on investment activity</t>
  </si>
  <si>
    <t xml:space="preserve">   Share of net profit (loss) of associates accounted for using the equity method</t>
  </si>
  <si>
    <t xml:space="preserve">   Cost of borrowings</t>
  </si>
  <si>
    <t xml:space="preserve">   Other adjustments to profit before tax</t>
  </si>
  <si>
    <t xml:space="preserve">   Income tax paid</t>
  </si>
  <si>
    <t xml:space="preserve">   Wpływy z tytułu rozliczenia inwestycji w sklepach z wynajmującymi</t>
  </si>
  <si>
    <t xml:space="preserve">   Wydatki dotyczące nabycia przedsięwzięcia Adler</t>
  </si>
  <si>
    <t xml:space="preserve">   Wydatki dotyczące inwestycji w jednostkę stowarzyszoną HR Group</t>
  </si>
  <si>
    <t xml:space="preserve">   Wpływ z tytułu sprzedaży NG2 s.a.r.l. oraz Karl Voegele AG</t>
  </si>
  <si>
    <t xml:space="preserve">   Wydatki na nabycie udziałów niekontrolujących </t>
  </si>
  <si>
    <t xml:space="preserve">   Proceeds from the sale of tangible fixed assets</t>
  </si>
  <si>
    <t xml:space="preserve">   </t>
  </si>
  <si>
    <t xml:space="preserve">   Acquisition of intangible and tangible fixed assets</t>
  </si>
  <si>
    <t xml:space="preserve">   Loans granted</t>
  </si>
  <si>
    <t xml:space="preserve">   Payment related to acquisition of Adler</t>
  </si>
  <si>
    <t xml:space="preserve">   Payment related to investment in HR Group associate</t>
  </si>
  <si>
    <t xml:space="preserve">   Other outflows from investing activities</t>
  </si>
  <si>
    <t xml:space="preserve">   Payment related to investment in Gino Rossi associate</t>
  </si>
  <si>
    <t xml:space="preserve">   Expenditures for the acquisition of non-controlling interests</t>
  </si>
  <si>
    <t xml:space="preserve">   Lease payments</t>
  </si>
  <si>
    <t xml:space="preserve">   Interest paid</t>
  </si>
  <si>
    <t xml:space="preserve">   Proceeds from the issue of shares </t>
  </si>
  <si>
    <t xml:space="preserve">   Other outflows from financing activities</t>
  </si>
  <si>
    <t xml:space="preserve">   Otrzymana zaliczka od A&amp;R Investments Limited oraz wpłata od Cyfrowego Polsatu z tytułu sprzedaży akcji eobuwie.pl S.A.</t>
  </si>
  <si>
    <t xml:space="preserve">   Nabycie akcji eobuwie.pl S.A. od MKK3</t>
  </si>
  <si>
    <t xml:space="preserve">   Wpływy netto z emisji akcji</t>
  </si>
  <si>
    <t xml:space="preserve">   Inne wydatki finansowe</t>
  </si>
  <si>
    <r>
      <t xml:space="preserve">   Nabycie wartości niematerialnych i rzeczowych aktywów trwałych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</si>
  <si>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* Dane bilansowe na dzień 31.12.2020 nie publikowane w związku z przesunieciem roku obrotowego. Rok obrotowy 2020 zakończył się 31.01.2021
* Balance sheet data as of 31.12.2020 not published due to shifting of the fiscal year. Financial year 2020 ended 31.01.2021</t>
  </si>
  <si>
    <t xml:space="preserve"> |-&gt; Data on continued operations (without KVAG from Q1 2019)</t>
  </si>
  <si>
    <t>FY 2020</t>
  </si>
  <si>
    <t>DeeZee</t>
  </si>
  <si>
    <t>AMORTYZACJA</t>
  </si>
  <si>
    <t>Segment profitability</t>
  </si>
  <si>
    <t>DEPRECIATION</t>
  </si>
  <si>
    <t>LICZBA SKLEPÓW / STORE COUNT</t>
  </si>
  <si>
    <t>POWIERZCHNIA / FLOORSPACE</t>
  </si>
  <si>
    <t>RAZEM WŁASNE SKLEPY CCC</t>
  </si>
  <si>
    <t>TOTAL OWN CCC STORES</t>
  </si>
  <si>
    <t>Pozostałe / Other</t>
  </si>
  <si>
    <t>ENG (PLNm)</t>
  </si>
  <si>
    <t>Rentowność segmentu</t>
  </si>
  <si>
    <t>Inne korekty</t>
  </si>
  <si>
    <t>Inne</t>
  </si>
  <si>
    <t>Other adjustments</t>
  </si>
  <si>
    <t xml:space="preserve">Other </t>
  </si>
  <si>
    <t>Przychody ze sprzedaży niezaalokowane do segmentu</t>
  </si>
  <si>
    <t>Q1 2022</t>
  </si>
  <si>
    <t>Q2 2022</t>
  </si>
  <si>
    <t>Q3 2022</t>
  </si>
  <si>
    <t>Q4 2022</t>
  </si>
  <si>
    <t>Revenue not allocated to segments</t>
  </si>
  <si>
    <t>Revenue</t>
  </si>
  <si>
    <t>CCC omnichannel</t>
  </si>
  <si>
    <t>eobuwie omnichannel</t>
  </si>
  <si>
    <t>Modivo omnichannel</t>
  </si>
  <si>
    <t>Gross profit (loss)</t>
  </si>
  <si>
    <t>Segment Profit (loss)</t>
  </si>
  <si>
    <t>Zysk (strata) segmentu</t>
  </si>
  <si>
    <t>Pozostale spółki</t>
  </si>
  <si>
    <t>Other companies</t>
  </si>
  <si>
    <t>FY 2022</t>
  </si>
  <si>
    <t>Zysk (strata) netto z działalności kontynuowanej</t>
  </si>
  <si>
    <t>   Other operating costs and revenue</t>
  </si>
  <si>
    <t>Net profit (loss) from continuing operations</t>
  </si>
  <si>
    <t>Zysk (strata) przed opodatkowaniem</t>
  </si>
  <si>
    <t>Profit (loss) before tax</t>
  </si>
  <si>
    <t xml:space="preserve">   Net financial income and costs </t>
  </si>
  <si>
    <t xml:space="preserve"> |-&gt; Data on continued operations (without CCC Russia)</t>
  </si>
  <si>
    <t>Zysk brutto ze sprzedaży</t>
  </si>
  <si>
    <t>Przychody ze sprzedaży od klientów zewnętrznych</t>
  </si>
  <si>
    <t>HalfPrice omnichannel</t>
  </si>
  <si>
    <t>INVENTORIES</t>
  </si>
  <si>
    <t>ZAPASY</t>
  </si>
  <si>
    <t>Zobowiązania z tytułu kredytów i obligacji</t>
  </si>
  <si>
    <t>Przepływy pieniężne przed zmianami w kapitale obrotowym</t>
  </si>
  <si>
    <t>* dane nie uwzględniają wyników CCC w Rosji
* data does not include CCC Russia results</t>
  </si>
  <si>
    <t>Q1 2021*</t>
  </si>
  <si>
    <t>Q2 2021*</t>
  </si>
  <si>
    <t>Q3 2021*</t>
  </si>
  <si>
    <t>−</t>
  </si>
  <si>
    <t>3 601,3</t>
  </si>
  <si>
    <t>2 691,1</t>
  </si>
  <si>
    <t>1 379,9</t>
  </si>
  <si>
    <t>6 481,4</t>
  </si>
  <si>
    <t>2 741,4</t>
  </si>
  <si>
    <t>3 740,0</t>
  </si>
  <si>
    <t>7 064,1</t>
  </si>
  <si>
    <t>3 462,8</t>
  </si>
  <si>
    <t>1 266,8</t>
  </si>
  <si>
    <t>1 389,5</t>
  </si>
  <si>
    <t>1 370,5</t>
  </si>
  <si>
    <t>1 155,7</t>
  </si>
  <si>
    <t>Q4 2021*</t>
  </si>
  <si>
    <t>FY 2021*</t>
  </si>
  <si>
    <t>Q1 2023</t>
  </si>
  <si>
    <t>Q2 2023</t>
  </si>
  <si>
    <t>Q3 2023</t>
  </si>
  <si>
    <t>Q4 2023</t>
  </si>
  <si>
    <t>FY 2023</t>
  </si>
  <si>
    <t>Latvia</t>
  </si>
  <si>
    <t>Lithuania</t>
  </si>
  <si>
    <t>Estonia</t>
  </si>
  <si>
    <t>Ukraine</t>
  </si>
  <si>
    <t>EBIT</t>
  </si>
  <si>
    <t>EBITDA</t>
  </si>
  <si>
    <t>Q1 2024</t>
  </si>
  <si>
    <t>Q2 2024</t>
  </si>
  <si>
    <t>Q3 2024</t>
  </si>
  <si>
    <t>Q4 2024</t>
  </si>
  <si>
    <t>FY 2024</t>
  </si>
  <si>
    <t>Boardriders</t>
  </si>
  <si>
    <t>Worldbox</t>
  </si>
  <si>
    <t>ONLINE</t>
  </si>
  <si>
    <t>FY 2025</t>
  </si>
  <si>
    <t>Q1 2025</t>
  </si>
  <si>
    <t>Q2 2025</t>
  </si>
  <si>
    <t>Q3 2025</t>
  </si>
  <si>
    <t>Q4 2025</t>
  </si>
  <si>
    <t>Wydatki na nabycie udziałów niekontrolujących</t>
  </si>
  <si>
    <t>Q3 20245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</si>
</sst>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z_ł_-;\-* #,##0.00\ _z_ł_-;_-* &quot;-&quot;??\ _z_ł_-;_-@_-"/>
    <numFmt numFmtId="165" formatCode="_(#,##0.0_);_(\(#,##0.0\);_(&quot;-&quot;??_);_(@_)"/>
    <numFmt numFmtId="166" formatCode="0.0%"/>
    <numFmt numFmtId="167" formatCode="#,##0.0"/>
    <numFmt numFmtId="168" formatCode="0.0"/>
    <numFmt numFmtId="169" formatCode="_(#,##0_);_(\(#,##0\);_(&quot;-&quot;??_);_(@_)"/>
    <numFmt numFmtId="170" formatCode="_-* #,##0.0\ _z_ł_-;\-* #,##0.0\ _z_ł_-;_-* &quot;-&quot;??\ _z_ł_-;_-@_-"/>
    <numFmt numFmtId="171" formatCode="_-* #,##0.0_-;\-* #,##0.0_-;_-* &quot;-&quot;??_-;_-@_-"/>
    <numFmt numFmtId="172" formatCode="_-* #,##0_-;\-* #,##0_-;_-* &quot;-&quot;??_-;_-@_-"/>
    <numFmt numFmtId="173" formatCode="_-* #,##0.0\ _z_ł_-;\-* #,##0.0\ _z_ł_-;_-* &quot;-&quot;?\ _z_ł_-;_-@_-"/>
    <numFmt numFmtId="174" formatCode="#,##0.0_);\(#,##0.0\);#,##0.0_);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Myriad Pro SemiCondensed"/>
      <charset val="238"/>
    </font>
    <font>
      <b/>
      <sz val="9"/>
      <name val="Myriad Pro SemiCondensed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Myriad Pro SemiCondensed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A551E"/>
      <name val="Calibri"/>
      <family val="2"/>
      <charset val="238"/>
      <scheme val="minor"/>
    </font>
    <font>
      <b/>
      <sz val="12"/>
      <name val="Myriad Pro SemiCondensed"/>
      <charset val="238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Myriad Pro SemiCondensed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0" tint="-0.249977111117893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i/>
      <sz val="9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Myriad Pro SemiCondensed"/>
      <charset val="238"/>
    </font>
    <font>
      <b/>
      <sz val="9"/>
      <color theme="1"/>
      <name val="Myriad Pro SemiCondensed"/>
      <charset val="238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Myriad Pro SemiCondensed"/>
      <charset val="238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5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dashed">
        <color theme="0" tint="-0.14996795556505021"/>
      </right>
      <top style="thin">
        <color theme="1"/>
      </top>
      <bottom/>
      <diagonal/>
    </border>
    <border>
      <left style="thin">
        <color theme="1"/>
      </left>
      <right style="dashed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theme="0" tint="-0.499984740745262"/>
      </right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2" tint="-0.2499465926084170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thin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1"/>
      </left>
      <right style="dashed">
        <color theme="0" tint="-0.149967955565050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1"/>
      </bottom>
      <diagonal/>
    </border>
    <border>
      <left/>
      <right style="thin">
        <color auto="1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ck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dashed">
        <color theme="0" tint="-0.14996795556505021"/>
      </left>
      <right style="thin">
        <color theme="0" tint="-0.499984740745262"/>
      </right>
      <top/>
      <bottom style="thick">
        <color theme="1"/>
      </bottom>
      <diagonal/>
    </border>
    <border>
      <left/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thin">
        <color theme="0" tint="-0.499984740745262"/>
      </left>
      <right/>
      <top/>
      <bottom style="thick">
        <color theme="1"/>
      </bottom>
      <diagonal/>
    </border>
    <border>
      <left style="thick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medium">
        <color theme="0" tint="-0.34998626667073579"/>
      </bottom>
      <diagonal/>
    </border>
    <border>
      <left style="thick">
        <color auto="1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/>
      <right style="thick">
        <color auto="1"/>
      </right>
      <top style="thick">
        <color theme="1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thick">
        <color indexed="64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ck">
        <color theme="1"/>
      </bottom>
      <diagonal/>
    </border>
    <border>
      <left/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ck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1"/>
      </left>
      <right style="medium">
        <color theme="1"/>
      </right>
      <top style="thick">
        <color theme="0" tint="-0.499984740745262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 style="thick">
        <color theme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5">
    <xf numFmtId="0" fontId="0" fillId="0" borderId="0"/>
    <xf numFmtId="0" fontId="19" fillId="0" borderId="0"/>
    <xf numFmtId="9" fontId="3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4" fontId="33" fillId="0" borderId="0" applyFont="0" applyFill="0" applyBorder="0" applyAlignment="0" applyProtection="0"/>
    <xf numFmtId="0" fontId="13" fillId="0" borderId="0"/>
    <xf numFmtId="0" fontId="11" fillId="0" borderId="0"/>
    <xf numFmtId="0" fontId="10" fillId="0" borderId="0"/>
    <xf numFmtId="0" fontId="10" fillId="0" borderId="0"/>
    <xf numFmtId="43" fontId="33" fillId="0" borderId="0" applyFont="0" applyFill="0" applyBorder="0" applyAlignment="0" applyProtection="0"/>
    <xf numFmtId="0" fontId="6" fillId="0" borderId="0"/>
  </cellStyleXfs>
  <cellXfs count="629">
    <xf numFmtId="0" fontId="0" fillId="0" borderId="0" xfId="0"/>
    <xf numFmtId="0" fontId="0" fillId="0" borderId="1" xfId="0" applyBorder="1"/>
    <xf numFmtId="0" fontId="0" fillId="0" borderId="2" xfId="0" applyBorder="1"/>
    <xf numFmtId="167" fontId="0" fillId="0" borderId="0" xfId="0" applyNumberFormat="1"/>
    <xf numFmtId="4" fontId="0" fillId="0" borderId="0" xfId="0" applyNumberFormat="1"/>
    <xf numFmtId="0" fontId="0" fillId="2" borderId="0" xfId="0" applyFill="1"/>
    <xf numFmtId="167" fontId="0" fillId="0" borderId="0" xfId="0" applyNumberFormat="1" applyAlignment="1">
      <alignment horizontal="center" vertical="center"/>
    </xf>
    <xf numFmtId="165" fontId="20" fillId="3" borderId="4" xfId="1" applyNumberFormat="1" applyFont="1" applyFill="1" applyBorder="1" applyAlignment="1">
      <alignment horizontal="center" vertical="center" wrapText="1"/>
    </xf>
    <xf numFmtId="166" fontId="23" fillId="3" borderId="4" xfId="1" applyNumberFormat="1" applyFont="1" applyFill="1" applyBorder="1" applyAlignment="1">
      <alignment horizontal="center" vertical="center" wrapText="1"/>
    </xf>
    <xf numFmtId="165" fontId="20" fillId="3" borderId="5" xfId="1" applyNumberFormat="1" applyFont="1" applyFill="1" applyBorder="1" applyAlignment="1">
      <alignment horizontal="center" vertical="center" wrapText="1"/>
    </xf>
    <xf numFmtId="165" fontId="20" fillId="3" borderId="3" xfId="1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66" fontId="23" fillId="2" borderId="4" xfId="1" applyNumberFormat="1" applyFont="1" applyFill="1" applyBorder="1" applyAlignment="1">
      <alignment horizontal="center" vertical="center" wrapText="1"/>
    </xf>
    <xf numFmtId="165" fontId="20" fillId="2" borderId="4" xfId="1" applyNumberFormat="1" applyFont="1" applyFill="1" applyBorder="1" applyAlignment="1">
      <alignment horizontal="center" vertical="center" wrapText="1"/>
    </xf>
    <xf numFmtId="165" fontId="20" fillId="2" borderId="5" xfId="1" applyNumberFormat="1" applyFont="1" applyFill="1" applyBorder="1" applyAlignment="1">
      <alignment horizontal="center" vertical="center" wrapText="1"/>
    </xf>
    <xf numFmtId="0" fontId="0" fillId="4" borderId="14" xfId="0" applyFill="1" applyBorder="1"/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14" fontId="22" fillId="4" borderId="15" xfId="0" applyNumberFormat="1" applyFont="1" applyFill="1" applyBorder="1" applyAlignment="1">
      <alignment horizontal="center" vertical="center"/>
    </xf>
    <xf numFmtId="14" fontId="22" fillId="4" borderId="19" xfId="0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22" fillId="0" borderId="49" xfId="0" applyFont="1" applyBorder="1"/>
    <xf numFmtId="0" fontId="22" fillId="4" borderId="50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0" fontId="22" fillId="4" borderId="56" xfId="0" applyFont="1" applyFill="1" applyBorder="1" applyAlignment="1">
      <alignment horizontal="center"/>
    </xf>
    <xf numFmtId="0" fontId="22" fillId="4" borderId="57" xfId="0" applyFont="1" applyFill="1" applyBorder="1" applyAlignment="1">
      <alignment horizontal="center"/>
    </xf>
    <xf numFmtId="165" fontId="20" fillId="2" borderId="28" xfId="1" applyNumberFormat="1" applyFont="1" applyFill="1" applyBorder="1" applyAlignment="1">
      <alignment horizontal="center" vertical="center" wrapText="1"/>
    </xf>
    <xf numFmtId="49" fontId="0" fillId="0" borderId="59" xfId="0" applyNumberFormat="1" applyBorder="1"/>
    <xf numFmtId="49" fontId="0" fillId="0" borderId="60" xfId="0" applyNumberFormat="1" applyBorder="1"/>
    <xf numFmtId="49" fontId="0" fillId="0" borderId="61" xfId="0" applyNumberFormat="1" applyBorder="1"/>
    <xf numFmtId="49" fontId="0" fillId="0" borderId="66" xfId="0" applyNumberFormat="1" applyBorder="1"/>
    <xf numFmtId="0" fontId="0" fillId="0" borderId="60" xfId="0" applyBorder="1"/>
    <xf numFmtId="3" fontId="0" fillId="0" borderId="0" xfId="0" applyNumberFormat="1"/>
    <xf numFmtId="3" fontId="0" fillId="0" borderId="61" xfId="0" applyNumberFormat="1" applyBorder="1"/>
    <xf numFmtId="3" fontId="0" fillId="0" borderId="74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75" xfId="0" applyNumberFormat="1" applyBorder="1"/>
    <xf numFmtId="3" fontId="0" fillId="0" borderId="72" xfId="0" applyNumberFormat="1" applyBorder="1"/>
    <xf numFmtId="3" fontId="0" fillId="0" borderId="73" xfId="0" applyNumberFormat="1" applyBorder="1"/>
    <xf numFmtId="3" fontId="0" fillId="0" borderId="28" xfId="0" applyNumberFormat="1" applyBorder="1"/>
    <xf numFmtId="3" fontId="0" fillId="0" borderId="67" xfId="0" applyNumberFormat="1" applyBorder="1" applyAlignment="1">
      <alignment horizontal="right"/>
    </xf>
    <xf numFmtId="3" fontId="22" fillId="0" borderId="7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24" fillId="0" borderId="71" xfId="0" applyNumberFormat="1" applyFont="1" applyBorder="1" applyAlignment="1">
      <alignment horizontal="center" vertical="center"/>
    </xf>
    <xf numFmtId="0" fontId="0" fillId="6" borderId="0" xfId="0" applyFill="1"/>
    <xf numFmtId="0" fontId="24" fillId="6" borderId="0" xfId="0" applyFont="1" applyFill="1" applyAlignment="1">
      <alignment horizontal="center"/>
    </xf>
    <xf numFmtId="0" fontId="0" fillId="3" borderId="0" xfId="0" applyFill="1"/>
    <xf numFmtId="49" fontId="24" fillId="0" borderId="61" xfId="0" applyNumberFormat="1" applyFont="1" applyBorder="1"/>
    <xf numFmtId="1" fontId="24" fillId="0" borderId="61" xfId="0" applyNumberFormat="1" applyFont="1" applyBorder="1" applyAlignment="1">
      <alignment horizontal="right"/>
    </xf>
    <xf numFmtId="0" fontId="31" fillId="2" borderId="0" xfId="0" applyFont="1" applyFill="1" applyAlignment="1">
      <alignment horizontal="center" vertical="center" textRotation="90"/>
    </xf>
    <xf numFmtId="14" fontId="22" fillId="4" borderId="20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4" fontId="22" fillId="4" borderId="15" xfId="0" applyNumberFormat="1" applyFont="1" applyFill="1" applyBorder="1" applyAlignment="1">
      <alignment horizontal="right" vertical="center"/>
    </xf>
    <xf numFmtId="3" fontId="37" fillId="0" borderId="0" xfId="0" applyNumberFormat="1" applyFont="1" applyAlignment="1">
      <alignment horizontal="center" vertical="center"/>
    </xf>
    <xf numFmtId="0" fontId="22" fillId="4" borderId="15" xfId="0" applyFont="1" applyFill="1" applyBorder="1" applyAlignment="1">
      <alignment horizontal="center" wrapText="1"/>
    </xf>
    <xf numFmtId="3" fontId="0" fillId="0" borderId="69" xfId="0" applyNumberFormat="1" applyBorder="1"/>
    <xf numFmtId="0" fontId="36" fillId="0" borderId="0" xfId="0" applyFont="1" applyAlignment="1">
      <alignment vertical="center" wrapText="1"/>
    </xf>
    <xf numFmtId="167" fontId="0" fillId="2" borderId="0" xfId="0" applyNumberFormat="1" applyFill="1" applyAlignment="1">
      <alignment horizontal="center" vertical="center"/>
    </xf>
    <xf numFmtId="165" fontId="20" fillId="2" borderId="81" xfId="1" applyNumberFormat="1" applyFont="1" applyFill="1" applyBorder="1" applyAlignment="1">
      <alignment horizontal="center" vertical="center" wrapText="1"/>
    </xf>
    <xf numFmtId="165" fontId="20" fillId="2" borderId="0" xfId="1" applyNumberFormat="1" applyFont="1" applyFill="1" applyAlignment="1">
      <alignment horizontal="center" vertical="center" wrapText="1"/>
    </xf>
    <xf numFmtId="165" fontId="20" fillId="2" borderId="27" xfId="1" applyNumberFormat="1" applyFont="1" applyFill="1" applyBorder="1" applyAlignment="1">
      <alignment horizontal="center" vertical="center" wrapText="1"/>
    </xf>
    <xf numFmtId="166" fontId="23" fillId="3" borderId="28" xfId="1" applyNumberFormat="1" applyFont="1" applyFill="1" applyBorder="1" applyAlignment="1">
      <alignment horizontal="center" vertical="center" wrapText="1"/>
    </xf>
    <xf numFmtId="165" fontId="20" fillId="3" borderId="28" xfId="1" applyNumberFormat="1" applyFont="1" applyFill="1" applyBorder="1" applyAlignment="1">
      <alignment horizontal="center" vertical="center" wrapText="1"/>
    </xf>
    <xf numFmtId="165" fontId="20" fillId="2" borderId="82" xfId="1" applyNumberFormat="1" applyFont="1" applyFill="1" applyBorder="1" applyAlignment="1">
      <alignment horizontal="center" vertical="center" wrapText="1"/>
    </xf>
    <xf numFmtId="165" fontId="20" fillId="3" borderId="27" xfId="1" applyNumberFormat="1" applyFont="1" applyFill="1" applyBorder="1" applyAlignment="1">
      <alignment horizontal="center" vertical="center" wrapText="1"/>
    </xf>
    <xf numFmtId="165" fontId="20" fillId="3" borderId="82" xfId="1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wrapText="1"/>
    </xf>
    <xf numFmtId="3" fontId="0" fillId="0" borderId="77" xfId="0" applyNumberFormat="1" applyBorder="1"/>
    <xf numFmtId="0" fontId="13" fillId="0" borderId="29" xfId="0" applyFont="1" applyBorder="1"/>
    <xf numFmtId="0" fontId="13" fillId="0" borderId="0" xfId="0" applyFont="1"/>
    <xf numFmtId="0" fontId="13" fillId="2" borderId="0" xfId="0" applyFont="1" applyFill="1"/>
    <xf numFmtId="0" fontId="13" fillId="4" borderId="30" xfId="0" applyFont="1" applyFill="1" applyBorder="1"/>
    <xf numFmtId="0" fontId="22" fillId="0" borderId="0" xfId="0" applyFont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70" fontId="13" fillId="2" borderId="18" xfId="8" applyNumberFormat="1" applyFont="1" applyFill="1" applyBorder="1" applyAlignment="1">
      <alignment horizontal="center" vertical="center"/>
    </xf>
    <xf numFmtId="170" fontId="13" fillId="2" borderId="29" xfId="8" applyNumberFormat="1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right" vertical="center" indent="1"/>
    </xf>
    <xf numFmtId="170" fontId="13" fillId="2" borderId="18" xfId="8" applyNumberFormat="1" applyFont="1" applyFill="1" applyBorder="1" applyAlignment="1">
      <alignment horizontal="right" vertical="center"/>
    </xf>
    <xf numFmtId="170" fontId="13" fillId="2" borderId="28" xfId="8" applyNumberFormat="1" applyFont="1" applyFill="1" applyBorder="1" applyAlignment="1">
      <alignment horizontal="right" vertical="center" indent="1"/>
    </xf>
    <xf numFmtId="164" fontId="13" fillId="2" borderId="26" xfId="8" applyFont="1" applyFill="1" applyBorder="1" applyAlignment="1">
      <alignment horizontal="center" vertical="center"/>
    </xf>
    <xf numFmtId="164" fontId="13" fillId="2" borderId="28" xfId="8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170" fontId="26" fillId="2" borderId="0" xfId="8" applyNumberFormat="1" applyFont="1" applyFill="1" applyBorder="1" applyAlignment="1">
      <alignment horizontal="center" vertical="center" wrapText="1"/>
    </xf>
    <xf numFmtId="170" fontId="26" fillId="2" borderId="26" xfId="8" applyNumberFormat="1" applyFont="1" applyFill="1" applyBorder="1" applyAlignment="1">
      <alignment horizontal="center" vertical="center" wrapText="1"/>
    </xf>
    <xf numFmtId="170" fontId="26" fillId="2" borderId="28" xfId="8" applyNumberFormat="1" applyFont="1" applyFill="1" applyBorder="1" applyAlignment="1">
      <alignment horizontal="center" vertical="center" wrapText="1"/>
    </xf>
    <xf numFmtId="170" fontId="26" fillId="2" borderId="33" xfId="8" applyNumberFormat="1" applyFont="1" applyFill="1" applyBorder="1" applyAlignment="1">
      <alignment horizontal="center" vertical="center" wrapText="1"/>
    </xf>
    <xf numFmtId="170" fontId="27" fillId="2" borderId="52" xfId="8" applyNumberFormat="1" applyFont="1" applyFill="1" applyBorder="1" applyAlignment="1">
      <alignment horizontal="center" vertical="center" wrapText="1"/>
    </xf>
    <xf numFmtId="170" fontId="27" fillId="2" borderId="53" xfId="8" applyNumberFormat="1" applyFont="1" applyFill="1" applyBorder="1" applyAlignment="1">
      <alignment horizontal="center" vertical="center" wrapText="1"/>
    </xf>
    <xf numFmtId="170" fontId="27" fillId="2" borderId="12" xfId="8" applyNumberFormat="1" applyFont="1" applyFill="1" applyBorder="1" applyAlignment="1">
      <alignment horizontal="center" vertical="center" wrapText="1"/>
    </xf>
    <xf numFmtId="170" fontId="27" fillId="2" borderId="32" xfId="8" applyNumberFormat="1" applyFont="1" applyFill="1" applyBorder="1" applyAlignment="1">
      <alignment horizontal="center" vertical="center" wrapText="1"/>
    </xf>
    <xf numFmtId="0" fontId="13" fillId="0" borderId="79" xfId="0" applyFont="1" applyBorder="1" applyAlignment="1">
      <alignment wrapText="1"/>
    </xf>
    <xf numFmtId="0" fontId="13" fillId="0" borderId="37" xfId="0" applyFont="1" applyBorder="1" applyAlignment="1">
      <alignment wrapText="1"/>
    </xf>
    <xf numFmtId="170" fontId="22" fillId="0" borderId="53" xfId="8" applyNumberFormat="1" applyFont="1" applyBorder="1" applyAlignment="1">
      <alignment horizontal="center" vertical="center"/>
    </xf>
    <xf numFmtId="170" fontId="22" fillId="0" borderId="52" xfId="8" applyNumberFormat="1" applyFont="1" applyBorder="1" applyAlignment="1">
      <alignment horizontal="center" vertical="center"/>
    </xf>
    <xf numFmtId="170" fontId="22" fillId="0" borderId="12" xfId="8" applyNumberFormat="1" applyFont="1" applyBorder="1" applyAlignment="1">
      <alignment horizontal="center" vertical="center"/>
    </xf>
    <xf numFmtId="170" fontId="22" fillId="0" borderId="32" xfId="8" applyNumberFormat="1" applyFont="1" applyBorder="1" applyAlignment="1">
      <alignment horizontal="center" vertical="center"/>
    </xf>
    <xf numFmtId="0" fontId="42" fillId="2" borderId="0" xfId="0" applyFont="1" applyFill="1"/>
    <xf numFmtId="3" fontId="0" fillId="0" borderId="29" xfId="0" applyNumberFormat="1" applyBorder="1"/>
    <xf numFmtId="49" fontId="0" fillId="0" borderId="61" xfId="0" applyNumberFormat="1" applyBorder="1" applyAlignment="1">
      <alignment horizontal="left" inden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49" fillId="0" borderId="0" xfId="0" applyFont="1"/>
    <xf numFmtId="3" fontId="0" fillId="0" borderId="28" xfId="0" applyNumberFormat="1" applyBorder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0" fillId="4" borderId="86" xfId="0" applyFill="1" applyBorder="1"/>
    <xf numFmtId="14" fontId="22" fillId="4" borderId="87" xfId="0" applyNumberFormat="1" applyFont="1" applyFill="1" applyBorder="1" applyAlignment="1">
      <alignment horizontal="center"/>
    </xf>
    <xf numFmtId="0" fontId="22" fillId="4" borderId="87" xfId="0" applyFont="1" applyFill="1" applyBorder="1" applyAlignment="1">
      <alignment horizontal="center"/>
    </xf>
    <xf numFmtId="14" fontId="22" fillId="4" borderId="88" xfId="0" applyNumberFormat="1" applyFont="1" applyFill="1" applyBorder="1" applyAlignment="1">
      <alignment horizontal="center" vertical="center"/>
    </xf>
    <xf numFmtId="14" fontId="22" fillId="4" borderId="87" xfId="0" applyNumberFormat="1" applyFont="1" applyFill="1" applyBorder="1" applyAlignment="1">
      <alignment horizontal="center" vertical="center"/>
    </xf>
    <xf numFmtId="14" fontId="22" fillId="4" borderId="87" xfId="0" applyNumberFormat="1" applyFont="1" applyFill="1" applyBorder="1" applyAlignment="1">
      <alignment horizontal="right" vertical="center"/>
    </xf>
    <xf numFmtId="14" fontId="22" fillId="4" borderId="89" xfId="0" applyNumberFormat="1" applyFont="1" applyFill="1" applyBorder="1" applyAlignment="1">
      <alignment horizontal="center" vertical="center"/>
    </xf>
    <xf numFmtId="14" fontId="22" fillId="2" borderId="59" xfId="0" applyNumberFormat="1" applyFont="1" applyFill="1" applyBorder="1" applyAlignment="1">
      <alignment horizontal="center"/>
    </xf>
    <xf numFmtId="1" fontId="54" fillId="0" borderId="0" xfId="0" applyNumberFormat="1" applyFont="1" applyAlignment="1">
      <alignment horizontal="center"/>
    </xf>
    <xf numFmtId="0" fontId="54" fillId="0" borderId="0" xfId="0" applyFont="1"/>
    <xf numFmtId="3" fontId="55" fillId="0" borderId="95" xfId="0" applyNumberFormat="1" applyFont="1" applyBorder="1" applyAlignment="1">
      <alignment horizontal="center" vertical="center"/>
    </xf>
    <xf numFmtId="3" fontId="55" fillId="0" borderId="96" xfId="0" applyNumberFormat="1" applyFont="1" applyBorder="1" applyAlignment="1">
      <alignment horizontal="center" vertical="center"/>
    </xf>
    <xf numFmtId="3" fontId="56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22" fillId="2" borderId="59" xfId="0" applyFont="1" applyFill="1" applyBorder="1" applyAlignment="1">
      <alignment horizontal="center"/>
    </xf>
    <xf numFmtId="3" fontId="57" fillId="0" borderId="92" xfId="0" applyNumberFormat="1" applyFont="1" applyBorder="1" applyAlignment="1">
      <alignment horizontal="center"/>
    </xf>
    <xf numFmtId="3" fontId="57" fillId="0" borderId="93" xfId="0" applyNumberFormat="1" applyFont="1" applyBorder="1" applyAlignment="1">
      <alignment horizontal="center"/>
    </xf>
    <xf numFmtId="3" fontId="0" fillId="0" borderId="74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1" fontId="57" fillId="0" borderId="92" xfId="0" applyNumberFormat="1" applyFont="1" applyBorder="1" applyAlignment="1">
      <alignment horizontal="center"/>
    </xf>
    <xf numFmtId="1" fontId="57" fillId="0" borderId="93" xfId="0" applyNumberFormat="1" applyFont="1" applyBorder="1" applyAlignment="1">
      <alignment horizontal="center"/>
    </xf>
    <xf numFmtId="0" fontId="24" fillId="0" borderId="60" xfId="0" applyFont="1" applyBorder="1"/>
    <xf numFmtId="1" fontId="24" fillId="0" borderId="74" xfId="0" applyNumberFormat="1" applyFont="1" applyBorder="1" applyAlignment="1">
      <alignment horizontal="right"/>
    </xf>
    <xf numFmtId="1" fontId="24" fillId="0" borderId="28" xfId="0" applyNumberFormat="1" applyFont="1" applyBorder="1" applyAlignment="1">
      <alignment horizontal="right"/>
    </xf>
    <xf numFmtId="49" fontId="24" fillId="0" borderId="97" xfId="0" applyNumberFormat="1" applyFont="1" applyBorder="1"/>
    <xf numFmtId="49" fontId="24" fillId="0" borderId="95" xfId="0" applyNumberFormat="1" applyFont="1" applyBorder="1"/>
    <xf numFmtId="166" fontId="34" fillId="0" borderId="98" xfId="2" applyNumberFormat="1" applyFont="1" applyBorder="1" applyAlignment="1">
      <alignment horizontal="right"/>
    </xf>
    <xf numFmtId="166" fontId="34" fillId="0" borderId="99" xfId="2" applyNumberFormat="1" applyFont="1" applyBorder="1" applyAlignment="1">
      <alignment horizontal="right"/>
    </xf>
    <xf numFmtId="165" fontId="59" fillId="2" borderId="28" xfId="1" applyNumberFormat="1" applyFont="1" applyFill="1" applyBorder="1" applyAlignment="1">
      <alignment horizontal="center" vertical="center" wrapText="1"/>
    </xf>
    <xf numFmtId="0" fontId="58" fillId="0" borderId="87" xfId="1" applyFont="1" applyBorder="1" applyAlignment="1">
      <alignment vertical="center"/>
    </xf>
    <xf numFmtId="165" fontId="59" fillId="2" borderId="100" xfId="1" applyNumberFormat="1" applyFont="1" applyFill="1" applyBorder="1" applyAlignment="1">
      <alignment horizontal="center" vertical="center" wrapText="1"/>
    </xf>
    <xf numFmtId="165" fontId="59" fillId="2" borderId="96" xfId="1" applyNumberFormat="1" applyFont="1" applyFill="1" applyBorder="1" applyAlignment="1">
      <alignment horizontal="center" vertical="center" wrapText="1"/>
    </xf>
    <xf numFmtId="165" fontId="59" fillId="3" borderId="96" xfId="1" applyNumberFormat="1" applyFont="1" applyFill="1" applyBorder="1" applyAlignment="1">
      <alignment horizontal="center" vertical="center" wrapText="1"/>
    </xf>
    <xf numFmtId="165" fontId="59" fillId="3" borderId="100" xfId="1" applyNumberFormat="1" applyFont="1" applyFill="1" applyBorder="1" applyAlignment="1">
      <alignment horizontal="center" vertical="center" wrapText="1"/>
    </xf>
    <xf numFmtId="165" fontId="59" fillId="0" borderId="100" xfId="1" applyNumberFormat="1" applyFont="1" applyBorder="1" applyAlignment="1">
      <alignment horizontal="center" vertical="center" wrapText="1"/>
    </xf>
    <xf numFmtId="165" fontId="59" fillId="0" borderId="96" xfId="1" applyNumberFormat="1" applyFont="1" applyBorder="1" applyAlignment="1">
      <alignment horizontal="center" vertical="center" wrapText="1"/>
    </xf>
    <xf numFmtId="0" fontId="33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59" xfId="0" applyFont="1" applyFill="1" applyBorder="1" applyAlignment="1">
      <alignment horizontal="center" wrapText="1"/>
    </xf>
    <xf numFmtId="0" fontId="10" fillId="0" borderId="101" xfId="9" applyFont="1" applyBorder="1" applyAlignment="1">
      <alignment vertical="center"/>
    </xf>
    <xf numFmtId="0" fontId="10" fillId="2" borderId="102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170" fontId="10" fillId="2" borderId="85" xfId="8" applyNumberFormat="1" applyFont="1" applyFill="1" applyBorder="1" applyAlignment="1">
      <alignment horizontal="center" vertical="center"/>
    </xf>
    <xf numFmtId="170" fontId="10" fillId="2" borderId="90" xfId="8" applyNumberFormat="1" applyFont="1" applyFill="1" applyBorder="1" applyAlignment="1">
      <alignment horizontal="center" vertical="center"/>
    </xf>
    <xf numFmtId="170" fontId="10" fillId="2" borderId="96" xfId="8" applyNumberFormat="1" applyFont="1" applyFill="1" applyBorder="1" applyAlignment="1">
      <alignment horizontal="center" vertical="center"/>
    </xf>
    <xf numFmtId="170" fontId="10" fillId="2" borderId="102" xfId="8" applyNumberFormat="1" applyFont="1" applyFill="1" applyBorder="1" applyAlignment="1">
      <alignment horizontal="center" vertical="center"/>
    </xf>
    <xf numFmtId="170" fontId="10" fillId="2" borderId="102" xfId="8" applyNumberFormat="1" applyFont="1" applyFill="1" applyBorder="1" applyAlignment="1">
      <alignment horizontal="right" vertical="center" indent="1"/>
    </xf>
    <xf numFmtId="170" fontId="10" fillId="2" borderId="96" xfId="8" applyNumberFormat="1" applyFont="1" applyFill="1" applyBorder="1" applyAlignment="1">
      <alignment horizontal="right" vertical="center" indent="1"/>
    </xf>
    <xf numFmtId="170" fontId="10" fillId="2" borderId="90" xfId="8" applyNumberFormat="1" applyFont="1" applyFill="1" applyBorder="1" applyAlignment="1">
      <alignment horizontal="right" vertical="center" indent="1"/>
    </xf>
    <xf numFmtId="170" fontId="10" fillId="2" borderId="85" xfId="8" applyNumberFormat="1" applyFont="1" applyFill="1" applyBorder="1" applyAlignment="1">
      <alignment horizontal="right" vertical="center"/>
    </xf>
    <xf numFmtId="0" fontId="22" fillId="0" borderId="86" xfId="9" applyFont="1" applyBorder="1" applyAlignment="1">
      <alignment vertical="center"/>
    </xf>
    <xf numFmtId="0" fontId="22" fillId="2" borderId="102" xfId="0" applyFont="1" applyFill="1" applyBorder="1" applyAlignment="1">
      <alignment horizontal="center" vertical="center"/>
    </xf>
    <xf numFmtId="0" fontId="22" fillId="2" borderId="96" xfId="0" applyFont="1" applyFill="1" applyBorder="1" applyAlignment="1">
      <alignment horizontal="center" vertical="center"/>
    </xf>
    <xf numFmtId="170" fontId="22" fillId="2" borderId="85" xfId="8" applyNumberFormat="1" applyFont="1" applyFill="1" applyBorder="1" applyAlignment="1">
      <alignment horizontal="center" vertical="center"/>
    </xf>
    <xf numFmtId="170" fontId="22" fillId="2" borderId="102" xfId="8" applyNumberFormat="1" applyFont="1" applyFill="1" applyBorder="1" applyAlignment="1">
      <alignment horizontal="center" vertical="center"/>
    </xf>
    <xf numFmtId="170" fontId="22" fillId="2" borderId="96" xfId="8" applyNumberFormat="1" applyFont="1" applyFill="1" applyBorder="1" applyAlignment="1">
      <alignment horizontal="center" vertical="center"/>
    </xf>
    <xf numFmtId="170" fontId="22" fillId="2" borderId="102" xfId="8" applyNumberFormat="1" applyFont="1" applyFill="1" applyBorder="1" applyAlignment="1">
      <alignment horizontal="right" vertical="center" indent="1"/>
    </xf>
    <xf numFmtId="170" fontId="22" fillId="2" borderId="96" xfId="8" applyNumberFormat="1" applyFont="1" applyFill="1" applyBorder="1" applyAlignment="1">
      <alignment horizontal="right" vertical="center" indent="1"/>
    </xf>
    <xf numFmtId="170" fontId="22" fillId="2" borderId="85" xfId="8" applyNumberFormat="1" applyFont="1" applyFill="1" applyBorder="1" applyAlignment="1">
      <alignment horizontal="right" vertical="center"/>
    </xf>
    <xf numFmtId="170" fontId="22" fillId="2" borderId="96" xfId="8" applyNumberFormat="1" applyFont="1" applyFill="1" applyBorder="1" applyAlignment="1">
      <alignment horizontal="right" vertical="center"/>
    </xf>
    <xf numFmtId="0" fontId="10" fillId="0" borderId="86" xfId="9" applyFont="1" applyBorder="1" applyAlignment="1">
      <alignment vertical="center"/>
    </xf>
    <xf numFmtId="170" fontId="10" fillId="2" borderId="96" xfId="8" applyNumberFormat="1" applyFont="1" applyFill="1" applyBorder="1" applyAlignment="1">
      <alignment horizontal="right" vertical="center"/>
    </xf>
    <xf numFmtId="0" fontId="22" fillId="0" borderId="101" xfId="9" applyFont="1" applyBorder="1" applyAlignment="1">
      <alignment vertical="center"/>
    </xf>
    <xf numFmtId="170" fontId="22" fillId="2" borderId="96" xfId="8" applyNumberFormat="1" applyFont="1" applyFill="1" applyBorder="1" applyAlignment="1">
      <alignment vertical="center"/>
    </xf>
    <xf numFmtId="0" fontId="10" fillId="0" borderId="103" xfId="9" applyFont="1" applyBorder="1" applyAlignment="1">
      <alignment vertical="center"/>
    </xf>
    <xf numFmtId="0" fontId="10" fillId="2" borderId="104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170" fontId="10" fillId="2" borderId="106" xfId="8" applyNumberFormat="1" applyFont="1" applyFill="1" applyBorder="1" applyAlignment="1">
      <alignment horizontal="center" vertical="center"/>
    </xf>
    <xf numFmtId="170" fontId="10" fillId="2" borderId="104" xfId="8" applyNumberFormat="1" applyFont="1" applyFill="1" applyBorder="1" applyAlignment="1">
      <alignment horizontal="center" vertical="center"/>
    </xf>
    <xf numFmtId="170" fontId="10" fillId="2" borderId="105" xfId="8" applyNumberFormat="1" applyFont="1" applyFill="1" applyBorder="1" applyAlignment="1">
      <alignment horizontal="center" vertical="center"/>
    </xf>
    <xf numFmtId="170" fontId="10" fillId="2" borderId="104" xfId="8" applyNumberFormat="1" applyFont="1" applyFill="1" applyBorder="1" applyAlignment="1">
      <alignment horizontal="right" vertical="center" indent="1"/>
    </xf>
    <xf numFmtId="170" fontId="10" fillId="2" borderId="105" xfId="8" applyNumberFormat="1" applyFont="1" applyFill="1" applyBorder="1" applyAlignment="1">
      <alignment horizontal="right" vertical="center" indent="1"/>
    </xf>
    <xf numFmtId="170" fontId="10" fillId="2" borderId="105" xfId="8" applyNumberFormat="1" applyFont="1" applyFill="1" applyBorder="1" applyAlignment="1">
      <alignment horizontal="right" vertical="center"/>
    </xf>
    <xf numFmtId="170" fontId="10" fillId="2" borderId="106" xfId="8" applyNumberFormat="1" applyFont="1" applyFill="1" applyBorder="1" applyAlignment="1">
      <alignment horizontal="right" vertical="center"/>
    </xf>
    <xf numFmtId="0" fontId="60" fillId="4" borderId="95" xfId="9" applyFont="1" applyFill="1" applyBorder="1" applyAlignment="1">
      <alignment vertical="center"/>
    </xf>
    <xf numFmtId="0" fontId="60" fillId="4" borderId="109" xfId="9" applyFont="1" applyFill="1" applyBorder="1" applyAlignment="1">
      <alignment vertical="center"/>
    </xf>
    <xf numFmtId="170" fontId="60" fillId="4" borderId="96" xfId="8" applyNumberFormat="1" applyFont="1" applyFill="1" applyBorder="1" applyAlignment="1">
      <alignment horizontal="center" vertical="center" wrapText="1"/>
    </xf>
    <xf numFmtId="170" fontId="60" fillId="4" borderId="102" xfId="8" applyNumberFormat="1" applyFont="1" applyFill="1" applyBorder="1" applyAlignment="1">
      <alignment horizontal="center" vertical="center" wrapText="1"/>
    </xf>
    <xf numFmtId="170" fontId="60" fillId="4" borderId="86" xfId="8" applyNumberFormat="1" applyFont="1" applyFill="1" applyBorder="1" applyAlignment="1">
      <alignment horizontal="center" vertical="center" wrapText="1"/>
    </xf>
    <xf numFmtId="170" fontId="60" fillId="4" borderId="108" xfId="8" applyNumberFormat="1" applyFont="1" applyFill="1" applyBorder="1" applyAlignment="1">
      <alignment horizontal="center" vertical="center" wrapText="1"/>
    </xf>
    <xf numFmtId="0" fontId="22" fillId="4" borderId="112" xfId="0" applyFont="1" applyFill="1" applyBorder="1" applyAlignment="1">
      <alignment horizontal="center"/>
    </xf>
    <xf numFmtId="0" fontId="13" fillId="0" borderId="117" xfId="0" applyFont="1" applyBorder="1" applyAlignment="1">
      <alignment wrapText="1"/>
    </xf>
    <xf numFmtId="0" fontId="13" fillId="0" borderId="118" xfId="0" applyFont="1" applyBorder="1" applyAlignment="1">
      <alignment wrapText="1"/>
    </xf>
    <xf numFmtId="0" fontId="22" fillId="4" borderId="120" xfId="0" applyFont="1" applyFill="1" applyBorder="1" applyAlignment="1">
      <alignment horizontal="center"/>
    </xf>
    <xf numFmtId="170" fontId="27" fillId="3" borderId="121" xfId="8" applyNumberFormat="1" applyFont="1" applyFill="1" applyBorder="1" applyAlignment="1">
      <alignment horizontal="center" vertical="center" wrapText="1"/>
    </xf>
    <xf numFmtId="170" fontId="26" fillId="3" borderId="122" xfId="8" applyNumberFormat="1" applyFont="1" applyFill="1" applyBorder="1" applyAlignment="1">
      <alignment horizontal="center" vertical="center" wrapText="1"/>
    </xf>
    <xf numFmtId="170" fontId="27" fillId="3" borderId="123" xfId="8" applyNumberFormat="1" applyFont="1" applyFill="1" applyBorder="1" applyAlignment="1">
      <alignment horizontal="center" vertical="center" wrapText="1"/>
    </xf>
    <xf numFmtId="170" fontId="26" fillId="3" borderId="124" xfId="8" applyNumberFormat="1" applyFont="1" applyFill="1" applyBorder="1" applyAlignment="1">
      <alignment horizontal="center" vertical="center" wrapText="1"/>
    </xf>
    <xf numFmtId="170" fontId="60" fillId="3" borderId="125" xfId="8" applyNumberFormat="1" applyFont="1" applyFill="1" applyBorder="1" applyAlignment="1">
      <alignment horizontal="center" vertical="center" wrapText="1"/>
    </xf>
    <xf numFmtId="170" fontId="60" fillId="4" borderId="125" xfId="8" applyNumberFormat="1" applyFont="1" applyFill="1" applyBorder="1" applyAlignment="1">
      <alignment horizontal="center" vertical="center" wrapText="1"/>
    </xf>
    <xf numFmtId="170" fontId="22" fillId="0" borderId="123" xfId="8" applyNumberFormat="1" applyFont="1" applyBorder="1" applyAlignment="1">
      <alignment horizontal="center" vertical="center"/>
    </xf>
    <xf numFmtId="170" fontId="27" fillId="3" borderId="121" xfId="8" applyNumberFormat="1" applyFont="1" applyFill="1" applyBorder="1" applyAlignment="1">
      <alignment horizontal="right" vertical="center" wrapText="1"/>
    </xf>
    <xf numFmtId="170" fontId="26" fillId="3" borderId="122" xfId="8" applyNumberFormat="1" applyFont="1" applyFill="1" applyBorder="1" applyAlignment="1">
      <alignment horizontal="right" vertical="center" wrapText="1"/>
    </xf>
    <xf numFmtId="170" fontId="27" fillId="3" borderId="123" xfId="8" applyNumberFormat="1" applyFont="1" applyFill="1" applyBorder="1" applyAlignment="1">
      <alignment horizontal="right" vertical="center" wrapText="1"/>
    </xf>
    <xf numFmtId="170" fontId="26" fillId="3" borderId="124" xfId="8" applyNumberFormat="1" applyFont="1" applyFill="1" applyBorder="1" applyAlignment="1">
      <alignment horizontal="right" vertical="center" wrapText="1"/>
    </xf>
    <xf numFmtId="170" fontId="60" fillId="3" borderId="125" xfId="8" applyNumberFormat="1" applyFont="1" applyFill="1" applyBorder="1" applyAlignment="1">
      <alignment horizontal="right" vertical="center" wrapText="1"/>
    </xf>
    <xf numFmtId="170" fontId="60" fillId="4" borderId="125" xfId="8" applyNumberFormat="1" applyFont="1" applyFill="1" applyBorder="1" applyAlignment="1">
      <alignment horizontal="right" vertical="center" wrapText="1"/>
    </xf>
    <xf numFmtId="170" fontId="22" fillId="0" borderId="123" xfId="8" applyNumberFormat="1" applyFont="1" applyBorder="1" applyAlignment="1">
      <alignment horizontal="right" vertical="center"/>
    </xf>
    <xf numFmtId="0" fontId="22" fillId="4" borderId="120" xfId="0" applyFont="1" applyFill="1" applyBorder="1" applyAlignment="1">
      <alignment horizontal="center" wrapText="1"/>
    </xf>
    <xf numFmtId="0" fontId="22" fillId="2" borderId="126" xfId="0" applyFont="1" applyFill="1" applyBorder="1" applyAlignment="1">
      <alignment horizontal="center"/>
    </xf>
    <xf numFmtId="166" fontId="23" fillId="4" borderId="4" xfId="1" applyNumberFormat="1" applyFont="1" applyFill="1" applyBorder="1" applyAlignment="1">
      <alignment horizontal="center" vertical="center" wrapText="1"/>
    </xf>
    <xf numFmtId="166" fontId="23" fillId="4" borderId="28" xfId="1" applyNumberFormat="1" applyFont="1" applyFill="1" applyBorder="1" applyAlignment="1">
      <alignment horizontal="center" vertical="center" wrapText="1"/>
    </xf>
    <xf numFmtId="166" fontId="23" fillId="2" borderId="28" xfId="1" applyNumberFormat="1" applyFont="1" applyFill="1" applyBorder="1" applyAlignment="1">
      <alignment horizontal="center" vertical="center" wrapText="1"/>
    </xf>
    <xf numFmtId="165" fontId="20" fillId="4" borderId="28" xfId="1" applyNumberFormat="1" applyFont="1" applyFill="1" applyBorder="1" applyAlignment="1">
      <alignment horizontal="center" vertical="center" wrapText="1"/>
    </xf>
    <xf numFmtId="165" fontId="20" fillId="4" borderId="4" xfId="1" applyNumberFormat="1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left" indent="1"/>
    </xf>
    <xf numFmtId="0" fontId="0" fillId="2" borderId="61" xfId="0" applyFill="1" applyBorder="1"/>
    <xf numFmtId="0" fontId="0" fillId="2" borderId="0" xfId="0" applyFill="1" applyAlignment="1">
      <alignment horizontal="left" indent="1"/>
    </xf>
    <xf numFmtId="0" fontId="22" fillId="4" borderId="130" xfId="0" applyFont="1" applyFill="1" applyBorder="1" applyAlignment="1">
      <alignment horizontal="center" wrapText="1"/>
    </xf>
    <xf numFmtId="0" fontId="22" fillId="4" borderId="131" xfId="0" applyFont="1" applyFill="1" applyBorder="1" applyAlignment="1">
      <alignment horizontal="center" wrapText="1"/>
    </xf>
    <xf numFmtId="0" fontId="22" fillId="4" borderId="132" xfId="0" applyFont="1" applyFill="1" applyBorder="1" applyAlignment="1">
      <alignment horizontal="center" wrapText="1"/>
    </xf>
    <xf numFmtId="0" fontId="22" fillId="2" borderId="61" xfId="0" applyFont="1" applyFill="1" applyBorder="1" applyAlignment="1">
      <alignment horizontal="center"/>
    </xf>
    <xf numFmtId="0" fontId="22" fillId="4" borderId="14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127" xfId="0" applyFont="1" applyFill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129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3" borderId="145" xfId="0" applyFont="1" applyFill="1" applyBorder="1"/>
    <xf numFmtId="165" fontId="26" fillId="2" borderId="0" xfId="1" applyNumberFormat="1" applyFont="1" applyFill="1" applyAlignment="1">
      <alignment horizontal="center" wrapText="1"/>
    </xf>
    <xf numFmtId="165" fontId="26" fillId="3" borderId="84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165" fontId="9" fillId="3" borderId="84" xfId="1" applyNumberFormat="1" applyFont="1" applyFill="1" applyBorder="1" applyAlignment="1">
      <alignment horizontal="center" vertical="center" wrapText="1"/>
    </xf>
    <xf numFmtId="9" fontId="43" fillId="2" borderId="135" xfId="2" applyFont="1" applyFill="1" applyBorder="1" applyAlignment="1">
      <alignment horizontal="right" vertical="center" wrapText="1"/>
    </xf>
    <xf numFmtId="9" fontId="25" fillId="2" borderId="135" xfId="2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right"/>
    </xf>
    <xf numFmtId="171" fontId="9" fillId="2" borderId="136" xfId="13" applyNumberFormat="1" applyFont="1" applyFill="1" applyBorder="1" applyAlignment="1">
      <alignment horizontal="right" vertical="center" wrapText="1"/>
    </xf>
    <xf numFmtId="171" fontId="9" fillId="2" borderId="0" xfId="13" applyNumberFormat="1" applyFont="1" applyFill="1" applyAlignment="1">
      <alignment horizontal="right"/>
    </xf>
    <xf numFmtId="166" fontId="43" fillId="2" borderId="0" xfId="0" applyNumberFormat="1" applyFont="1" applyFill="1" applyAlignment="1">
      <alignment horizontal="right"/>
    </xf>
    <xf numFmtId="166" fontId="43" fillId="2" borderId="135" xfId="2" applyNumberFormat="1" applyFont="1" applyFill="1" applyBorder="1" applyAlignment="1">
      <alignment horizontal="right" vertical="center" wrapText="1"/>
    </xf>
    <xf numFmtId="166" fontId="25" fillId="2" borderId="135" xfId="2" applyNumberFormat="1" applyFont="1" applyFill="1" applyBorder="1" applyAlignment="1">
      <alignment horizontal="right" vertical="center" wrapText="1"/>
    </xf>
    <xf numFmtId="166" fontId="25" fillId="2" borderId="140" xfId="2" applyNumberFormat="1" applyFont="1" applyFill="1" applyBorder="1" applyAlignment="1">
      <alignment horizontal="right" vertical="center" wrapText="1"/>
    </xf>
    <xf numFmtId="166" fontId="43" fillId="2" borderId="0" xfId="0" applyNumberFormat="1" applyFont="1" applyFill="1" applyAlignment="1">
      <alignment horizontal="right" vertical="center"/>
    </xf>
    <xf numFmtId="172" fontId="22" fillId="2" borderId="128" xfId="13" applyNumberFormat="1" applyFont="1" applyFill="1" applyBorder="1" applyAlignment="1">
      <alignment horizontal="center"/>
    </xf>
    <xf numFmtId="172" fontId="22" fillId="2" borderId="1" xfId="13" applyNumberFormat="1" applyFont="1" applyFill="1" applyBorder="1" applyAlignment="1">
      <alignment horizontal="center"/>
    </xf>
    <xf numFmtId="172" fontId="22" fillId="2" borderId="137" xfId="13" applyNumberFormat="1" applyFont="1" applyFill="1" applyBorder="1" applyAlignment="1">
      <alignment horizontal="center"/>
    </xf>
    <xf numFmtId="172" fontId="9" fillId="2" borderId="0" xfId="13" applyNumberFormat="1" applyFont="1" applyFill="1" applyAlignment="1">
      <alignment horizontal="center"/>
    </xf>
    <xf numFmtId="172" fontId="26" fillId="2" borderId="59" xfId="13" applyNumberFormat="1" applyFont="1" applyFill="1" applyBorder="1" applyAlignment="1">
      <alignment horizontal="center" vertical="center" wrapText="1"/>
    </xf>
    <xf numFmtId="172" fontId="9" fillId="2" borderId="59" xfId="13" applyNumberFormat="1" applyFont="1" applyFill="1" applyBorder="1" applyAlignment="1">
      <alignment horizontal="center" vertical="center" wrapText="1"/>
    </xf>
    <xf numFmtId="172" fontId="9" fillId="2" borderId="135" xfId="13" applyNumberFormat="1" applyFont="1" applyFill="1" applyBorder="1" applyAlignment="1">
      <alignment horizontal="right" vertical="center" wrapText="1"/>
    </xf>
    <xf numFmtId="172" fontId="9" fillId="2" borderId="59" xfId="13" applyNumberFormat="1" applyFont="1" applyFill="1" applyBorder="1" applyAlignment="1">
      <alignment horizontal="right" vertical="center" wrapText="1"/>
    </xf>
    <xf numFmtId="172" fontId="9" fillId="2" borderId="136" xfId="13" applyNumberFormat="1" applyFont="1" applyFill="1" applyBorder="1" applyAlignment="1">
      <alignment horizontal="right" vertical="center" wrapText="1"/>
    </xf>
    <xf numFmtId="172" fontId="9" fillId="2" borderId="0" xfId="13" applyNumberFormat="1" applyFont="1" applyFill="1" applyAlignment="1">
      <alignment horizontal="right"/>
    </xf>
    <xf numFmtId="172" fontId="26" fillId="2" borderId="135" xfId="13" applyNumberFormat="1" applyFont="1" applyFill="1" applyBorder="1" applyAlignment="1">
      <alignment horizontal="right" vertical="center" wrapText="1"/>
    </xf>
    <xf numFmtId="172" fontId="26" fillId="2" borderId="59" xfId="13" applyNumberFormat="1" applyFont="1" applyFill="1" applyBorder="1" applyAlignment="1">
      <alignment horizontal="right" vertical="center" wrapText="1"/>
    </xf>
    <xf numFmtId="172" fontId="26" fillId="2" borderId="140" xfId="13" applyNumberFormat="1" applyFont="1" applyFill="1" applyBorder="1" applyAlignment="1">
      <alignment horizontal="right" vertical="center" wrapText="1"/>
    </xf>
    <xf numFmtId="9" fontId="61" fillId="2" borderId="0" xfId="2" applyFont="1" applyFill="1" applyAlignment="1">
      <alignment horizontal="center"/>
    </xf>
    <xf numFmtId="9" fontId="61" fillId="3" borderId="144" xfId="2" applyFont="1" applyFill="1" applyBorder="1" applyAlignment="1">
      <alignment horizontal="center"/>
    </xf>
    <xf numFmtId="9" fontId="43" fillId="2" borderId="59" xfId="2" applyFont="1" applyFill="1" applyBorder="1" applyAlignment="1">
      <alignment horizontal="right" vertical="center" wrapText="1"/>
    </xf>
    <xf numFmtId="9" fontId="25" fillId="2" borderId="59" xfId="2" applyFont="1" applyFill="1" applyBorder="1" applyAlignment="1">
      <alignment horizontal="right" vertical="center" wrapText="1"/>
    </xf>
    <xf numFmtId="166" fontId="43" fillId="2" borderId="59" xfId="2" applyNumberFormat="1" applyFont="1" applyFill="1" applyBorder="1" applyAlignment="1">
      <alignment horizontal="right" vertical="center" wrapText="1"/>
    </xf>
    <xf numFmtId="166" fontId="25" fillId="2" borderId="59" xfId="2" applyNumberFormat="1" applyFont="1" applyFill="1" applyBorder="1" applyAlignment="1">
      <alignment horizontal="right" vertical="center" wrapText="1"/>
    </xf>
    <xf numFmtId="166" fontId="25" fillId="2" borderId="141" xfId="2" applyNumberFormat="1" applyFont="1" applyFill="1" applyBorder="1" applyAlignment="1">
      <alignment horizontal="right" vertical="center" wrapText="1"/>
    </xf>
    <xf numFmtId="1" fontId="9" fillId="2" borderId="135" xfId="13" applyNumberFormat="1" applyFont="1" applyFill="1" applyBorder="1" applyAlignment="1">
      <alignment horizontal="right" vertical="center" wrapText="1"/>
    </xf>
    <xf numFmtId="1" fontId="9" fillId="2" borderId="59" xfId="13" applyNumberFormat="1" applyFont="1" applyFill="1" applyBorder="1" applyAlignment="1">
      <alignment horizontal="right" vertical="center" wrapText="1"/>
    </xf>
    <xf numFmtId="1" fontId="26" fillId="2" borderId="135" xfId="13" applyNumberFormat="1" applyFont="1" applyFill="1" applyBorder="1" applyAlignment="1">
      <alignment horizontal="right" vertical="center" wrapText="1"/>
    </xf>
    <xf numFmtId="1" fontId="26" fillId="2" borderId="59" xfId="13" applyNumberFormat="1" applyFont="1" applyFill="1" applyBorder="1" applyAlignment="1">
      <alignment horizontal="right" vertical="center" wrapText="1"/>
    </xf>
    <xf numFmtId="49" fontId="0" fillId="0" borderId="59" xfId="0" applyNumberFormat="1" applyBorder="1" applyAlignment="1">
      <alignment horizontal="left" indent="1"/>
    </xf>
    <xf numFmtId="0" fontId="8" fillId="4" borderId="14" xfId="0" applyFont="1" applyFill="1" applyBorder="1"/>
    <xf numFmtId="0" fontId="8" fillId="4" borderId="46" xfId="0" applyFont="1" applyFill="1" applyBorder="1"/>
    <xf numFmtId="165" fontId="27" fillId="3" borderId="147" xfId="1" applyNumberFormat="1" applyFont="1" applyFill="1" applyBorder="1" applyAlignment="1">
      <alignment horizontal="center" wrapText="1"/>
    </xf>
    <xf numFmtId="9" fontId="43" fillId="3" borderId="84" xfId="2" applyFont="1" applyFill="1" applyBorder="1" applyAlignment="1">
      <alignment horizontal="center" vertical="center" wrapText="1"/>
    </xf>
    <xf numFmtId="9" fontId="25" fillId="3" borderId="84" xfId="2" applyFont="1" applyFill="1" applyBorder="1" applyAlignment="1">
      <alignment horizontal="center" vertical="center" wrapText="1"/>
    </xf>
    <xf numFmtId="168" fontId="22" fillId="3" borderId="144" xfId="0" applyNumberFormat="1" applyFont="1" applyFill="1" applyBorder="1" applyAlignment="1">
      <alignment horizontal="left" indent="2"/>
    </xf>
    <xf numFmtId="9" fontId="25" fillId="3" borderId="146" xfId="2" applyFont="1" applyFill="1" applyBorder="1" applyAlignment="1">
      <alignment horizontal="center" vertical="center" wrapText="1"/>
    </xf>
    <xf numFmtId="168" fontId="0" fillId="2" borderId="0" xfId="0" applyNumberFormat="1" applyFill="1" applyAlignment="1">
      <alignment horizontal="center"/>
    </xf>
    <xf numFmtId="172" fontId="0" fillId="2" borderId="0" xfId="0" applyNumberFormat="1" applyFill="1" applyAlignment="1">
      <alignment horizontal="center"/>
    </xf>
    <xf numFmtId="165" fontId="26" fillId="3" borderId="148" xfId="1" applyNumberFormat="1" applyFont="1" applyFill="1" applyBorder="1" applyAlignment="1">
      <alignment horizontal="center" wrapText="1"/>
    </xf>
    <xf numFmtId="172" fontId="9" fillId="2" borderId="142" xfId="13" applyNumberFormat="1" applyFont="1" applyFill="1" applyBorder="1" applyAlignment="1">
      <alignment horizontal="right" vertical="center" wrapText="1"/>
    </xf>
    <xf numFmtId="172" fontId="26" fillId="2" borderId="141" xfId="13" applyNumberFormat="1" applyFont="1" applyFill="1" applyBorder="1" applyAlignment="1">
      <alignment horizontal="center" vertical="center" wrapText="1"/>
    </xf>
    <xf numFmtId="170" fontId="26" fillId="0" borderId="33" xfId="8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wrapText="1"/>
    </xf>
    <xf numFmtId="0" fontId="13" fillId="0" borderId="113" xfId="0" applyFont="1" applyBorder="1" applyAlignment="1">
      <alignment wrapText="1"/>
    </xf>
    <xf numFmtId="170" fontId="26" fillId="0" borderId="122" xfId="8" applyNumberFormat="1" applyFont="1" applyFill="1" applyBorder="1" applyAlignment="1">
      <alignment horizontal="center" vertical="center" wrapText="1"/>
    </xf>
    <xf numFmtId="170" fontId="26" fillId="0" borderId="0" xfId="8" applyNumberFormat="1" applyFont="1" applyFill="1" applyBorder="1" applyAlignment="1">
      <alignment horizontal="center" vertical="center" wrapText="1"/>
    </xf>
    <xf numFmtId="170" fontId="26" fillId="0" borderId="26" xfId="8" applyNumberFormat="1" applyFont="1" applyFill="1" applyBorder="1" applyAlignment="1">
      <alignment horizontal="center" vertical="center" wrapText="1"/>
    </xf>
    <xf numFmtId="170" fontId="26" fillId="0" borderId="28" xfId="8" applyNumberFormat="1" applyFont="1" applyFill="1" applyBorder="1" applyAlignment="1">
      <alignment horizontal="center" vertical="center" wrapText="1"/>
    </xf>
    <xf numFmtId="170" fontId="26" fillId="0" borderId="122" xfId="8" applyNumberFormat="1" applyFont="1" applyFill="1" applyBorder="1" applyAlignment="1">
      <alignment horizontal="right" vertical="center" wrapText="1"/>
    </xf>
    <xf numFmtId="0" fontId="13" fillId="0" borderId="38" xfId="0" applyFont="1" applyBorder="1" applyAlignment="1">
      <alignment horizontal="left" wrapText="1" indent="1"/>
    </xf>
    <xf numFmtId="0" fontId="13" fillId="0" borderId="35" xfId="0" applyFont="1" applyBorder="1" applyAlignment="1">
      <alignment wrapText="1"/>
    </xf>
    <xf numFmtId="0" fontId="12" fillId="0" borderId="114" xfId="0" applyFont="1" applyBorder="1" applyAlignment="1">
      <alignment wrapText="1"/>
    </xf>
    <xf numFmtId="0" fontId="13" fillId="0" borderId="35" xfId="0" applyFont="1" applyBorder="1" applyAlignment="1">
      <alignment horizontal="left" wrapText="1" indent="1"/>
    </xf>
    <xf numFmtId="170" fontId="33" fillId="0" borderId="122" xfId="8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114" xfId="0" applyFont="1" applyBorder="1"/>
    <xf numFmtId="0" fontId="7" fillId="0" borderId="34" xfId="0" applyFont="1" applyBorder="1" applyAlignment="1">
      <alignment horizontal="left" indent="1"/>
    </xf>
    <xf numFmtId="170" fontId="45" fillId="0" borderId="26" xfId="8" applyNumberFormat="1" applyFont="1" applyFill="1" applyBorder="1" applyAlignment="1">
      <alignment horizontal="center" vertical="center"/>
    </xf>
    <xf numFmtId="170" fontId="45" fillId="0" borderId="0" xfId="8" applyNumberFormat="1" applyFont="1" applyFill="1" applyBorder="1" applyAlignment="1">
      <alignment horizontal="center" vertical="center"/>
    </xf>
    <xf numFmtId="0" fontId="12" fillId="0" borderId="118" xfId="0" applyFont="1" applyBorder="1" applyAlignment="1">
      <alignment wrapText="1"/>
    </xf>
    <xf numFmtId="170" fontId="27" fillId="3" borderId="121" xfId="8" applyNumberFormat="1" applyFont="1" applyFill="1" applyBorder="1" applyAlignment="1">
      <alignment vertical="center" wrapText="1"/>
    </xf>
    <xf numFmtId="170" fontId="26" fillId="0" borderId="122" xfId="8" applyNumberFormat="1" applyFont="1" applyFill="1" applyBorder="1" applyAlignment="1">
      <alignment vertical="center" wrapText="1"/>
    </xf>
    <xf numFmtId="170" fontId="27" fillId="3" borderId="123" xfId="8" applyNumberFormat="1" applyFont="1" applyFill="1" applyBorder="1" applyAlignment="1">
      <alignment vertical="center" wrapText="1"/>
    </xf>
    <xf numFmtId="170" fontId="26" fillId="3" borderId="122" xfId="8" applyNumberFormat="1" applyFont="1" applyFill="1" applyBorder="1" applyAlignment="1">
      <alignment vertical="center" wrapText="1"/>
    </xf>
    <xf numFmtId="170" fontId="60" fillId="3" borderId="125" xfId="8" applyNumberFormat="1" applyFont="1" applyFill="1" applyBorder="1" applyAlignment="1">
      <alignment vertical="center" wrapText="1"/>
    </xf>
    <xf numFmtId="170" fontId="60" fillId="4" borderId="125" xfId="8" applyNumberFormat="1" applyFont="1" applyFill="1" applyBorder="1" applyAlignment="1">
      <alignment vertical="center" wrapText="1"/>
    </xf>
    <xf numFmtId="170" fontId="22" fillId="0" borderId="123" xfId="8" applyNumberFormat="1" applyFont="1" applyBorder="1" applyAlignment="1">
      <alignment vertical="center"/>
    </xf>
    <xf numFmtId="0" fontId="22" fillId="4" borderId="50" xfId="0" applyFont="1" applyFill="1" applyBorder="1"/>
    <xf numFmtId="0" fontId="22" fillId="4" borderId="54" xfId="0" applyFont="1" applyFill="1" applyBorder="1"/>
    <xf numFmtId="0" fontId="13" fillId="0" borderId="36" xfId="0" applyFont="1" applyBorder="1"/>
    <xf numFmtId="0" fontId="13" fillId="0" borderId="113" xfId="0" applyFont="1" applyBorder="1"/>
    <xf numFmtId="0" fontId="13" fillId="0" borderId="34" xfId="0" applyFont="1" applyBorder="1"/>
    <xf numFmtId="0" fontId="13" fillId="0" borderId="114" xfId="0" applyFont="1" applyBorder="1"/>
    <xf numFmtId="0" fontId="12" fillId="0" borderId="113" xfId="0" applyFont="1" applyBorder="1"/>
    <xf numFmtId="0" fontId="13" fillId="0" borderId="34" xfId="0" applyFont="1" applyBorder="1" applyAlignment="1">
      <alignment horizontal="left" indent="1"/>
    </xf>
    <xf numFmtId="0" fontId="13" fillId="0" borderId="114" xfId="0" applyFont="1" applyBorder="1" applyAlignment="1">
      <alignment horizontal="left" indent="1"/>
    </xf>
    <xf numFmtId="0" fontId="12" fillId="0" borderId="80" xfId="0" applyFont="1" applyBorder="1"/>
    <xf numFmtId="0" fontId="12" fillId="0" borderId="116" xfId="0" applyFont="1" applyBorder="1"/>
    <xf numFmtId="0" fontId="13" fillId="0" borderId="80" xfId="0" applyFont="1" applyBorder="1" applyAlignment="1">
      <alignment horizontal="left" indent="1"/>
    </xf>
    <xf numFmtId="0" fontId="12" fillId="0" borderId="37" xfId="0" applyFont="1" applyBorder="1" applyAlignment="1">
      <alignment wrapText="1"/>
    </xf>
    <xf numFmtId="0" fontId="12" fillId="0" borderId="119" xfId="0" applyFont="1" applyBorder="1" applyAlignment="1">
      <alignment wrapText="1"/>
    </xf>
    <xf numFmtId="0" fontId="12" fillId="0" borderId="83" xfId="0" applyFont="1" applyBorder="1" applyAlignment="1">
      <alignment wrapText="1"/>
    </xf>
    <xf numFmtId="0" fontId="60" fillId="3" borderId="110" xfId="9" applyFont="1" applyFill="1" applyBorder="1" applyAlignment="1">
      <alignment vertical="center"/>
    </xf>
    <xf numFmtId="0" fontId="60" fillId="3" borderId="111" xfId="9" applyFont="1" applyFill="1" applyBorder="1" applyAlignment="1">
      <alignment vertical="center"/>
    </xf>
    <xf numFmtId="170" fontId="60" fillId="3" borderId="102" xfId="8" applyNumberFormat="1" applyFont="1" applyFill="1" applyBorder="1" applyAlignment="1">
      <alignment horizontal="center" vertical="center" wrapText="1"/>
    </xf>
    <xf numFmtId="170" fontId="60" fillId="3" borderId="96" xfId="8" applyNumberFormat="1" applyFont="1" applyFill="1" applyBorder="1" applyAlignment="1">
      <alignment horizontal="center" vertical="center" wrapText="1"/>
    </xf>
    <xf numFmtId="170" fontId="60" fillId="3" borderId="86" xfId="8" applyNumberFormat="1" applyFont="1" applyFill="1" applyBorder="1" applyAlignment="1">
      <alignment horizontal="center" vertical="center" wrapText="1"/>
    </xf>
    <xf numFmtId="170" fontId="60" fillId="3" borderId="108" xfId="8" applyNumberFormat="1" applyFont="1" applyFill="1" applyBorder="1" applyAlignment="1">
      <alignment horizontal="center" vertical="center" wrapText="1"/>
    </xf>
    <xf numFmtId="0" fontId="60" fillId="3" borderId="107" xfId="9" applyFont="1" applyFill="1" applyBorder="1" applyAlignment="1">
      <alignment vertical="center"/>
    </xf>
    <xf numFmtId="0" fontId="60" fillId="3" borderId="115" xfId="9" applyFont="1" applyFill="1" applyBorder="1" applyAlignment="1">
      <alignment vertical="center"/>
    </xf>
    <xf numFmtId="0" fontId="22" fillId="3" borderId="40" xfId="0" applyFont="1" applyFill="1" applyBorder="1"/>
    <xf numFmtId="0" fontId="22" fillId="3" borderId="44" xfId="0" applyFont="1" applyFill="1" applyBorder="1"/>
    <xf numFmtId="170" fontId="27" fillId="3" borderId="52" xfId="8" applyNumberFormat="1" applyFont="1" applyFill="1" applyBorder="1" applyAlignment="1">
      <alignment horizontal="center" vertical="center" wrapText="1"/>
    </xf>
    <xf numFmtId="170" fontId="27" fillId="3" borderId="53" xfId="8" applyNumberFormat="1" applyFont="1" applyFill="1" applyBorder="1" applyAlignment="1">
      <alignment horizontal="center" vertical="center" wrapText="1"/>
    </xf>
    <xf numFmtId="170" fontId="27" fillId="3" borderId="12" xfId="8" applyNumberFormat="1" applyFont="1" applyFill="1" applyBorder="1" applyAlignment="1">
      <alignment horizontal="center" vertical="center" wrapText="1"/>
    </xf>
    <xf numFmtId="170" fontId="27" fillId="3" borderId="32" xfId="8" applyNumberFormat="1" applyFont="1" applyFill="1" applyBorder="1" applyAlignment="1">
      <alignment horizontal="center" vertical="center" wrapText="1"/>
    </xf>
    <xf numFmtId="0" fontId="22" fillId="3" borderId="41" xfId="0" applyFont="1" applyFill="1" applyBorder="1"/>
    <xf numFmtId="0" fontId="22" fillId="3" borderId="48" xfId="0" applyFont="1" applyFill="1" applyBorder="1"/>
    <xf numFmtId="170" fontId="26" fillId="3" borderId="124" xfId="8" applyNumberFormat="1" applyFont="1" applyFill="1" applyBorder="1" applyAlignment="1">
      <alignment vertical="center" wrapText="1"/>
    </xf>
    <xf numFmtId="0" fontId="22" fillId="3" borderId="39" xfId="0" applyFont="1" applyFill="1" applyBorder="1"/>
    <xf numFmtId="0" fontId="22" fillId="3" borderId="47" xfId="0" applyFont="1" applyFill="1" applyBorder="1"/>
    <xf numFmtId="170" fontId="27" fillId="3" borderId="51" xfId="8" applyNumberFormat="1" applyFont="1" applyFill="1" applyBorder="1" applyAlignment="1">
      <alignment horizontal="center" vertical="center" wrapText="1"/>
    </xf>
    <xf numFmtId="170" fontId="27" fillId="3" borderId="55" xfId="8" applyNumberFormat="1" applyFont="1" applyFill="1" applyBorder="1" applyAlignment="1">
      <alignment horizontal="center" vertical="center" wrapText="1"/>
    </xf>
    <xf numFmtId="170" fontId="27" fillId="3" borderId="45" xfId="8" applyNumberFormat="1" applyFont="1" applyFill="1" applyBorder="1" applyAlignment="1">
      <alignment horizontal="center" vertical="center" wrapText="1"/>
    </xf>
    <xf numFmtId="170" fontId="27" fillId="3" borderId="58" xfId="8" applyNumberFormat="1" applyFont="1" applyFill="1" applyBorder="1" applyAlignment="1">
      <alignment horizontal="center" vertical="center" wrapText="1"/>
    </xf>
    <xf numFmtId="0" fontId="7" fillId="0" borderId="113" xfId="0" applyFont="1" applyBorder="1" applyAlignment="1">
      <alignment horizontal="left" wrapText="1" indent="1"/>
    </xf>
    <xf numFmtId="0" fontId="31" fillId="3" borderId="0" xfId="0" applyFont="1" applyFill="1" applyAlignment="1">
      <alignment horizontal="center" vertical="center" textRotation="90"/>
    </xf>
    <xf numFmtId="0" fontId="9" fillId="3" borderId="84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right"/>
    </xf>
    <xf numFmtId="172" fontId="9" fillId="2" borderId="135" xfId="13" applyNumberFormat="1" applyFont="1" applyFill="1" applyBorder="1" applyAlignment="1">
      <alignment vertical="center" wrapText="1"/>
    </xf>
    <xf numFmtId="172" fontId="9" fillId="2" borderId="59" xfId="13" applyNumberFormat="1" applyFont="1" applyFill="1" applyBorder="1" applyAlignment="1">
      <alignment vertical="center" wrapText="1"/>
    </xf>
    <xf numFmtId="172" fontId="26" fillId="2" borderId="135" xfId="13" applyNumberFormat="1" applyFont="1" applyFill="1" applyBorder="1" applyAlignment="1">
      <alignment vertical="center" wrapText="1"/>
    </xf>
    <xf numFmtId="172" fontId="26" fillId="2" borderId="59" xfId="13" applyNumberFormat="1" applyFont="1" applyFill="1" applyBorder="1" applyAlignment="1">
      <alignment vertical="center" wrapText="1"/>
    </xf>
    <xf numFmtId="172" fontId="22" fillId="2" borderId="128" xfId="13" applyNumberFormat="1" applyFont="1" applyFill="1" applyBorder="1" applyAlignment="1"/>
    <xf numFmtId="172" fontId="22" fillId="2" borderId="1" xfId="13" applyNumberFormat="1" applyFont="1" applyFill="1" applyBorder="1" applyAlignment="1"/>
    <xf numFmtId="172" fontId="26" fillId="2" borderId="140" xfId="13" applyNumberFormat="1" applyFont="1" applyFill="1" applyBorder="1" applyAlignment="1">
      <alignment vertical="center" wrapText="1"/>
    </xf>
    <xf numFmtId="172" fontId="26" fillId="2" borderId="141" xfId="13" applyNumberFormat="1" applyFont="1" applyFill="1" applyBorder="1" applyAlignment="1">
      <alignment vertical="center" wrapText="1"/>
    </xf>
    <xf numFmtId="9" fontId="43" fillId="2" borderId="136" xfId="2" applyFont="1" applyFill="1" applyBorder="1" applyAlignment="1">
      <alignment horizontal="right" vertical="center" wrapText="1"/>
    </xf>
    <xf numFmtId="9" fontId="26" fillId="2" borderId="142" xfId="2" applyFont="1" applyFill="1" applyBorder="1" applyAlignment="1">
      <alignment horizontal="right" vertical="center" wrapText="1"/>
    </xf>
    <xf numFmtId="1" fontId="22" fillId="2" borderId="128" xfId="0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168" fontId="22" fillId="2" borderId="137" xfId="0" applyNumberFormat="1" applyFont="1" applyFill="1" applyBorder="1" applyAlignment="1">
      <alignment horizontal="right"/>
    </xf>
    <xf numFmtId="0" fontId="9" fillId="2" borderId="138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139" xfId="0" applyFont="1" applyFill="1" applyBorder="1" applyAlignment="1">
      <alignment horizontal="right"/>
    </xf>
    <xf numFmtId="166" fontId="61" fillId="2" borderId="128" xfId="2" applyNumberFormat="1" applyFont="1" applyFill="1" applyBorder="1" applyAlignment="1">
      <alignment horizontal="right"/>
    </xf>
    <xf numFmtId="166" fontId="61" fillId="2" borderId="1" xfId="2" applyNumberFormat="1" applyFont="1" applyFill="1" applyBorder="1" applyAlignment="1">
      <alignment horizontal="right"/>
    </xf>
    <xf numFmtId="9" fontId="61" fillId="2" borderId="137" xfId="2" applyFont="1" applyFill="1" applyBorder="1" applyAlignment="1">
      <alignment horizontal="right"/>
    </xf>
    <xf numFmtId="9" fontId="61" fillId="2" borderId="128" xfId="2" applyFont="1" applyFill="1" applyBorder="1" applyAlignment="1">
      <alignment horizontal="right"/>
    </xf>
    <xf numFmtId="9" fontId="61" fillId="2" borderId="1" xfId="2" applyFont="1" applyFill="1" applyBorder="1" applyAlignment="1">
      <alignment horizontal="right"/>
    </xf>
    <xf numFmtId="0" fontId="22" fillId="2" borderId="128" xfId="0" applyFont="1" applyFill="1" applyBorder="1" applyAlignment="1">
      <alignment horizontal="right"/>
    </xf>
    <xf numFmtId="167" fontId="22" fillId="2" borderId="137" xfId="0" applyNumberFormat="1" applyFont="1" applyFill="1" applyBorder="1" applyAlignment="1">
      <alignment horizontal="right"/>
    </xf>
    <xf numFmtId="165" fontId="9" fillId="2" borderId="136" xfId="1" applyNumberFormat="1" applyFont="1" applyFill="1" applyBorder="1" applyAlignment="1">
      <alignment horizontal="right" vertical="center" wrapText="1"/>
    </xf>
    <xf numFmtId="0" fontId="22" fillId="2" borderId="133" xfId="0" applyFont="1" applyFill="1" applyBorder="1" applyAlignment="1">
      <alignment horizontal="right"/>
    </xf>
    <xf numFmtId="1" fontId="22" fillId="2" borderId="127" xfId="0" applyNumberFormat="1" applyFont="1" applyFill="1" applyBorder="1" applyAlignment="1">
      <alignment horizontal="right"/>
    </xf>
    <xf numFmtId="167" fontId="22" fillId="2" borderId="134" xfId="0" applyNumberFormat="1" applyFont="1" applyFill="1" applyBorder="1" applyAlignment="1">
      <alignment horizontal="right"/>
    </xf>
    <xf numFmtId="0" fontId="9" fillId="2" borderId="135" xfId="0" applyFont="1" applyFill="1" applyBorder="1" applyAlignment="1">
      <alignment horizontal="right"/>
    </xf>
    <xf numFmtId="0" fontId="9" fillId="2" borderId="136" xfId="0" applyFont="1" applyFill="1" applyBorder="1" applyAlignment="1">
      <alignment horizontal="right"/>
    </xf>
    <xf numFmtId="168" fontId="22" fillId="2" borderId="133" xfId="0" applyNumberFormat="1" applyFont="1" applyFill="1" applyBorder="1" applyAlignment="1">
      <alignment horizontal="right"/>
    </xf>
    <xf numFmtId="168" fontId="22" fillId="2" borderId="128" xfId="0" applyNumberFormat="1" applyFont="1" applyFill="1" applyBorder="1" applyAlignment="1">
      <alignment horizontal="right"/>
    </xf>
    <xf numFmtId="170" fontId="27" fillId="3" borderId="51" xfId="8" applyNumberFormat="1" applyFont="1" applyFill="1" applyBorder="1" applyAlignment="1">
      <alignment horizontal="right" vertical="center" wrapText="1"/>
    </xf>
    <xf numFmtId="170" fontId="26" fillId="0" borderId="26" xfId="8" applyNumberFormat="1" applyFont="1" applyFill="1" applyBorder="1" applyAlignment="1">
      <alignment horizontal="right" vertical="center" wrapText="1"/>
    </xf>
    <xf numFmtId="170" fontId="27" fillId="3" borderId="52" xfId="8" applyNumberFormat="1" applyFont="1" applyFill="1" applyBorder="1" applyAlignment="1">
      <alignment horizontal="right" vertical="center" wrapText="1"/>
    </xf>
    <xf numFmtId="170" fontId="60" fillId="3" borderId="102" xfId="8" applyNumberFormat="1" applyFont="1" applyFill="1" applyBorder="1" applyAlignment="1">
      <alignment horizontal="right" vertical="center" wrapText="1"/>
    </xf>
    <xf numFmtId="170" fontId="45" fillId="0" borderId="26" xfId="8" applyNumberFormat="1" applyFont="1" applyFill="1" applyBorder="1" applyAlignment="1">
      <alignment horizontal="right" vertical="center"/>
    </xf>
    <xf numFmtId="170" fontId="60" fillId="4" borderId="102" xfId="8" applyNumberFormat="1" applyFont="1" applyFill="1" applyBorder="1" applyAlignment="1">
      <alignment horizontal="right" vertical="center" wrapText="1"/>
    </xf>
    <xf numFmtId="170" fontId="26" fillId="2" borderId="26" xfId="8" applyNumberFormat="1" applyFont="1" applyFill="1" applyBorder="1" applyAlignment="1">
      <alignment horizontal="right" vertical="center" wrapText="1"/>
    </xf>
    <xf numFmtId="170" fontId="27" fillId="2" borderId="52" xfId="8" applyNumberFormat="1" applyFont="1" applyFill="1" applyBorder="1" applyAlignment="1">
      <alignment horizontal="right" vertical="center" wrapText="1"/>
    </xf>
    <xf numFmtId="170" fontId="22" fillId="0" borderId="52" xfId="8" applyNumberFormat="1" applyFont="1" applyBorder="1" applyAlignment="1">
      <alignment horizontal="right" vertical="center"/>
    </xf>
    <xf numFmtId="1" fontId="6" fillId="0" borderId="61" xfId="0" applyNumberFormat="1" applyFont="1" applyBorder="1" applyAlignment="1">
      <alignment horizontal="right"/>
    </xf>
    <xf numFmtId="165" fontId="26" fillId="2" borderId="4" xfId="14" applyNumberFormat="1" applyFont="1" applyFill="1" applyBorder="1" applyAlignment="1">
      <alignment horizontal="right" wrapText="1"/>
    </xf>
    <xf numFmtId="1" fontId="6" fillId="0" borderId="74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28" xfId="0" applyNumberFormat="1" applyFont="1" applyBorder="1" applyAlignment="1">
      <alignment horizontal="right"/>
    </xf>
    <xf numFmtId="165" fontId="27" fillId="2" borderId="4" xfId="14" applyNumberFormat="1" applyFont="1" applyFill="1" applyBorder="1" applyAlignment="1">
      <alignment horizontal="right" wrapText="1"/>
    </xf>
    <xf numFmtId="166" fontId="25" fillId="2" borderId="4" xfId="14" applyNumberFormat="1" applyFont="1" applyFill="1" applyBorder="1" applyAlignment="1">
      <alignment horizontal="right" wrapText="1"/>
    </xf>
    <xf numFmtId="1" fontId="6" fillId="0" borderId="67" xfId="0" applyNumberFormat="1" applyFont="1" applyBorder="1" applyAlignment="1">
      <alignment horizontal="right"/>
    </xf>
    <xf numFmtId="1" fontId="6" fillId="0" borderId="68" xfId="0" applyNumberFormat="1" applyFont="1" applyBorder="1" applyAlignment="1">
      <alignment horizontal="right"/>
    </xf>
    <xf numFmtId="1" fontId="6" fillId="0" borderId="75" xfId="0" applyNumberFormat="1" applyFont="1" applyBorder="1" applyAlignment="1">
      <alignment horizontal="right"/>
    </xf>
    <xf numFmtId="1" fontId="6" fillId="0" borderId="77" xfId="0" applyNumberFormat="1" applyFont="1" applyBorder="1" applyAlignment="1">
      <alignment horizontal="right"/>
    </xf>
    <xf numFmtId="1" fontId="6" fillId="0" borderId="69" xfId="0" applyNumberFormat="1" applyFont="1" applyBorder="1" applyAlignment="1">
      <alignment horizontal="right"/>
    </xf>
    <xf numFmtId="0" fontId="29" fillId="0" borderId="64" xfId="14" applyFont="1" applyBorder="1" applyAlignment="1">
      <alignment vertical="center"/>
    </xf>
    <xf numFmtId="0" fontId="29" fillId="0" borderId="65" xfId="14" applyFont="1" applyBorder="1" applyAlignment="1">
      <alignment vertical="center"/>
    </xf>
    <xf numFmtId="1" fontId="27" fillId="0" borderId="64" xfId="14" applyNumberFormat="1" applyFont="1" applyBorder="1" applyAlignment="1">
      <alignment horizontal="center"/>
    </xf>
    <xf numFmtId="165" fontId="27" fillId="2" borderId="4" xfId="14" applyNumberFormat="1" applyFont="1" applyFill="1" applyBorder="1" applyAlignment="1">
      <alignment horizontal="center" wrapText="1"/>
    </xf>
    <xf numFmtId="1" fontId="27" fillId="0" borderId="76" xfId="14" applyNumberFormat="1" applyFont="1" applyBorder="1" applyAlignment="1">
      <alignment horizontal="center"/>
    </xf>
    <xf numFmtId="3" fontId="26" fillId="2" borderId="28" xfId="14" applyNumberFormat="1" applyFont="1" applyFill="1" applyBorder="1" applyAlignment="1">
      <alignment horizontal="right" wrapText="1"/>
    </xf>
    <xf numFmtId="169" fontId="26" fillId="2" borderId="28" xfId="14" applyNumberFormat="1" applyFont="1" applyFill="1" applyBorder="1" applyAlignment="1">
      <alignment horizontal="right" wrapText="1"/>
    </xf>
    <xf numFmtId="165" fontId="26" fillId="2" borderId="0" xfId="14" applyNumberFormat="1" applyFont="1" applyFill="1" applyAlignment="1">
      <alignment horizontal="right" wrapText="1"/>
    </xf>
    <xf numFmtId="1" fontId="26" fillId="2" borderId="28" xfId="14" applyNumberFormat="1" applyFont="1" applyFill="1" applyBorder="1" applyAlignment="1">
      <alignment horizontal="right" wrapText="1"/>
    </xf>
    <xf numFmtId="3" fontId="6" fillId="0" borderId="28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69" fontId="6" fillId="0" borderId="28" xfId="0" applyNumberFormat="1" applyFont="1" applyBorder="1" applyAlignment="1">
      <alignment horizontal="right"/>
    </xf>
    <xf numFmtId="3" fontId="6" fillId="0" borderId="69" xfId="0" applyNumberFormat="1" applyFont="1" applyBorder="1" applyAlignment="1">
      <alignment horizontal="right"/>
    </xf>
    <xf numFmtId="0" fontId="29" fillId="0" borderId="70" xfId="14" applyFont="1" applyBorder="1" applyAlignment="1">
      <alignment vertical="center"/>
    </xf>
    <xf numFmtId="0" fontId="29" fillId="0" borderId="71" xfId="14" applyFont="1" applyBorder="1" applyAlignment="1">
      <alignment vertical="center"/>
    </xf>
    <xf numFmtId="1" fontId="6" fillId="0" borderId="72" xfId="0" applyNumberFormat="1" applyFont="1" applyBorder="1" applyAlignment="1">
      <alignment horizontal="right"/>
    </xf>
    <xf numFmtId="1" fontId="6" fillId="0" borderId="73" xfId="0" applyNumberFormat="1" applyFont="1" applyBorder="1" applyAlignment="1">
      <alignment horizontal="right"/>
    </xf>
    <xf numFmtId="3" fontId="6" fillId="0" borderId="73" xfId="0" applyNumberFormat="1" applyFont="1" applyBorder="1" applyAlignment="1">
      <alignment horizontal="right"/>
    </xf>
    <xf numFmtId="1" fontId="6" fillId="0" borderId="60" xfId="0" applyNumberFormat="1" applyFont="1" applyBorder="1" applyAlignment="1">
      <alignment horizontal="right"/>
    </xf>
    <xf numFmtId="0" fontId="57" fillId="0" borderId="91" xfId="14" applyFont="1" applyBorder="1"/>
    <xf numFmtId="0" fontId="57" fillId="0" borderId="91" xfId="14" applyFont="1" applyBorder="1" applyAlignment="1">
      <alignment horizontal="left"/>
    </xf>
    <xf numFmtId="0" fontId="55" fillId="0" borderId="94" xfId="14" applyFont="1" applyBorder="1" applyAlignment="1">
      <alignment horizontal="left" vertical="center"/>
    </xf>
    <xf numFmtId="0" fontId="47" fillId="0" borderId="0" xfId="14" applyFont="1" applyAlignment="1">
      <alignment horizontal="left" vertical="center"/>
    </xf>
    <xf numFmtId="3" fontId="20" fillId="2" borderId="4" xfId="14" applyNumberFormat="1" applyFont="1" applyFill="1" applyBorder="1" applyAlignment="1">
      <alignment horizontal="center" vertical="center" wrapText="1"/>
    </xf>
    <xf numFmtId="3" fontId="21" fillId="2" borderId="4" xfId="14" applyNumberFormat="1" applyFont="1" applyFill="1" applyBorder="1" applyAlignment="1">
      <alignment horizontal="center" vertical="center" wrapText="1"/>
    </xf>
    <xf numFmtId="3" fontId="23" fillId="2" borderId="4" xfId="14" applyNumberFormat="1" applyFont="1" applyFill="1" applyBorder="1" applyAlignment="1">
      <alignment horizontal="center" vertical="center" wrapText="1"/>
    </xf>
    <xf numFmtId="3" fontId="29" fillId="0" borderId="64" xfId="14" applyNumberFormat="1" applyFont="1" applyBorder="1" applyAlignment="1">
      <alignment horizontal="center" vertical="center"/>
    </xf>
    <xf numFmtId="3" fontId="32" fillId="2" borderId="4" xfId="14" applyNumberFormat="1" applyFont="1" applyFill="1" applyBorder="1" applyAlignment="1">
      <alignment horizontal="center" vertical="center" wrapText="1"/>
    </xf>
    <xf numFmtId="3" fontId="29" fillId="0" borderId="76" xfId="14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3" fontId="26" fillId="2" borderId="28" xfId="14" applyNumberFormat="1" applyFont="1" applyFill="1" applyBorder="1" applyAlignment="1">
      <alignment horizontal="right" vertical="center" wrapText="1"/>
    </xf>
    <xf numFmtId="3" fontId="20" fillId="2" borderId="4" xfId="14" applyNumberFormat="1" applyFont="1" applyFill="1" applyBorder="1" applyAlignment="1">
      <alignment horizontal="right" vertical="center" wrapText="1"/>
    </xf>
    <xf numFmtId="3" fontId="20" fillId="2" borderId="0" xfId="14" applyNumberFormat="1" applyFont="1" applyFill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/>
    </xf>
    <xf numFmtId="3" fontId="6" fillId="0" borderId="69" xfId="0" applyNumberFormat="1" applyFont="1" applyBorder="1" applyAlignment="1">
      <alignment horizontal="right" vertical="center"/>
    </xf>
    <xf numFmtId="3" fontId="24" fillId="2" borderId="0" xfId="0" applyNumberFormat="1" applyFont="1" applyFill="1" applyAlignment="1">
      <alignment horizontal="center" vertical="center"/>
    </xf>
    <xf numFmtId="3" fontId="0" fillId="2" borderId="0" xfId="0" applyNumberFormat="1" applyFill="1"/>
    <xf numFmtId="3" fontId="54" fillId="2" borderId="0" xfId="0" applyNumberFormat="1" applyFont="1" applyFill="1" applyAlignment="1">
      <alignment horizontal="center"/>
    </xf>
    <xf numFmtId="0" fontId="54" fillId="2" borderId="0" xfId="0" applyFont="1" applyFill="1"/>
    <xf numFmtId="0" fontId="50" fillId="0" borderId="0" xfId="14" applyFont="1" applyAlignment="1">
      <alignment horizontal="left" vertical="center"/>
    </xf>
    <xf numFmtId="3" fontId="50" fillId="2" borderId="0" xfId="0" applyNumberFormat="1" applyFont="1" applyFill="1" applyAlignment="1">
      <alignment horizontal="center" vertical="center"/>
    </xf>
    <xf numFmtId="0" fontId="52" fillId="2" borderId="0" xfId="0" applyFont="1" applyFill="1"/>
    <xf numFmtId="165" fontId="29" fillId="2" borderId="4" xfId="14" applyNumberFormat="1" applyFont="1" applyFill="1" applyBorder="1" applyAlignment="1">
      <alignment horizontal="right" wrapText="1"/>
    </xf>
    <xf numFmtId="165" fontId="35" fillId="2" borderId="28" xfId="14" applyNumberFormat="1" applyFont="1" applyFill="1" applyBorder="1" applyAlignment="1">
      <alignment horizontal="right" wrapText="1"/>
    </xf>
    <xf numFmtId="3" fontId="0" fillId="0" borderId="149" xfId="0" applyNumberFormat="1" applyBorder="1"/>
    <xf numFmtId="1" fontId="5" fillId="0" borderId="28" xfId="0" applyNumberFormat="1" applyFont="1" applyBorder="1" applyAlignment="1">
      <alignment horizontal="right"/>
    </xf>
    <xf numFmtId="1" fontId="5" fillId="0" borderId="69" xfId="0" applyNumberFormat="1" applyFont="1" applyBorder="1" applyAlignment="1">
      <alignment horizontal="right"/>
    </xf>
    <xf numFmtId="1" fontId="26" fillId="0" borderId="28" xfId="14" applyNumberFormat="1" applyFont="1" applyBorder="1" applyAlignment="1">
      <alignment horizontal="right" wrapText="1"/>
    </xf>
    <xf numFmtId="3" fontId="0" fillId="0" borderId="74" xfId="0" applyNumberFormat="1" applyBorder="1" applyAlignment="1">
      <alignment horizontal="right" vertical="center"/>
    </xf>
    <xf numFmtId="49" fontId="0" fillId="0" borderId="67" xfId="0" applyNumberFormat="1" applyBorder="1"/>
    <xf numFmtId="3" fontId="26" fillId="0" borderId="28" xfId="14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/>
    </xf>
    <xf numFmtId="166" fontId="34" fillId="0" borderId="99" xfId="2" applyNumberFormat="1" applyFont="1" applyFill="1" applyBorder="1" applyAlignment="1">
      <alignment horizontal="right"/>
    </xf>
    <xf numFmtId="172" fontId="5" fillId="2" borderId="135" xfId="13" applyNumberFormat="1" applyFont="1" applyFill="1" applyBorder="1" applyAlignment="1">
      <alignment horizontal="right" vertical="center" wrapText="1"/>
    </xf>
    <xf numFmtId="0" fontId="33" fillId="2" borderId="28" xfId="0" applyFont="1" applyFill="1" applyBorder="1"/>
    <xf numFmtId="165" fontId="20" fillId="0" borderId="5" xfId="1" applyNumberFormat="1" applyFont="1" applyBorder="1" applyAlignment="1">
      <alignment horizontal="center" vertical="center" wrapText="1"/>
    </xf>
    <xf numFmtId="9" fontId="43" fillId="2" borderId="9" xfId="2" applyFont="1" applyFill="1" applyBorder="1" applyAlignment="1">
      <alignment horizontal="right" vertical="center" wrapText="1"/>
    </xf>
    <xf numFmtId="9" fontId="25" fillId="2" borderId="140" xfId="2" applyFont="1" applyFill="1" applyBorder="1" applyAlignment="1">
      <alignment horizontal="right" vertical="center" wrapText="1"/>
    </xf>
    <xf numFmtId="9" fontId="25" fillId="2" borderId="141" xfId="2" applyFont="1" applyFill="1" applyBorder="1" applyAlignment="1">
      <alignment horizontal="right" vertical="center" wrapText="1"/>
    </xf>
    <xf numFmtId="172" fontId="22" fillId="2" borderId="152" xfId="0" applyNumberFormat="1" applyFont="1" applyFill="1" applyBorder="1" applyAlignment="1">
      <alignment horizontal="right"/>
    </xf>
    <xf numFmtId="172" fontId="22" fillId="2" borderId="151" xfId="0" applyNumberFormat="1" applyFont="1" applyFill="1" applyBorder="1" applyAlignment="1">
      <alignment horizontal="right"/>
    </xf>
    <xf numFmtId="172" fontId="22" fillId="2" borderId="153" xfId="0" applyNumberFormat="1" applyFont="1" applyFill="1" applyBorder="1" applyAlignment="1">
      <alignment horizontal="right"/>
    </xf>
    <xf numFmtId="172" fontId="22" fillId="2" borderId="133" xfId="0" applyNumberFormat="1" applyFont="1" applyFill="1" applyBorder="1" applyAlignment="1">
      <alignment horizontal="right"/>
    </xf>
    <xf numFmtId="172" fontId="9" fillId="2" borderId="9" xfId="13" applyNumberFormat="1" applyFont="1" applyFill="1" applyBorder="1" applyAlignment="1">
      <alignment vertical="center" wrapText="1"/>
    </xf>
    <xf numFmtId="172" fontId="26" fillId="2" borderId="9" xfId="13" applyNumberFormat="1" applyFont="1" applyFill="1" applyBorder="1" applyAlignment="1">
      <alignment vertical="center" wrapText="1"/>
    </xf>
    <xf numFmtId="172" fontId="26" fillId="2" borderId="11" xfId="13" applyNumberFormat="1" applyFont="1" applyFill="1" applyBorder="1" applyAlignment="1">
      <alignment vertical="center" wrapText="1"/>
    </xf>
    <xf numFmtId="172" fontId="9" fillId="2" borderId="150" xfId="13" applyNumberFormat="1" applyFont="1" applyFill="1" applyBorder="1" applyAlignment="1">
      <alignment vertical="center" wrapText="1"/>
    </xf>
    <xf numFmtId="172" fontId="26" fillId="2" borderId="74" xfId="13" applyNumberFormat="1" applyFont="1" applyFill="1" applyBorder="1" applyAlignment="1">
      <alignment vertical="center" wrapText="1"/>
    </xf>
    <xf numFmtId="172" fontId="9" fillId="2" borderId="74" xfId="13" applyNumberFormat="1" applyFont="1" applyFill="1" applyBorder="1" applyAlignment="1">
      <alignment vertical="center" wrapText="1"/>
    </xf>
    <xf numFmtId="172" fontId="26" fillId="2" borderId="154" xfId="13" applyNumberFormat="1" applyFont="1" applyFill="1" applyBorder="1" applyAlignment="1">
      <alignment vertical="center" wrapText="1"/>
    </xf>
    <xf numFmtId="1" fontId="4" fillId="0" borderId="28" xfId="0" applyNumberFormat="1" applyFont="1" applyBorder="1" applyAlignment="1">
      <alignment horizontal="right"/>
    </xf>
    <xf numFmtId="1" fontId="4" fillId="0" borderId="69" xfId="0" applyNumberFormat="1" applyFont="1" applyBorder="1" applyAlignment="1">
      <alignment horizontal="right"/>
    </xf>
    <xf numFmtId="1" fontId="4" fillId="0" borderId="73" xfId="0" applyNumberFormat="1" applyFont="1" applyBorder="1" applyAlignment="1">
      <alignment horizontal="right"/>
    </xf>
    <xf numFmtId="1" fontId="63" fillId="0" borderId="28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 vertical="center"/>
    </xf>
    <xf numFmtId="0" fontId="63" fillId="0" borderId="0" xfId="0" applyFont="1"/>
    <xf numFmtId="3" fontId="4" fillId="0" borderId="28" xfId="0" applyNumberFormat="1" applyFont="1" applyBorder="1" applyAlignment="1">
      <alignment horizontal="right" vertical="center"/>
    </xf>
    <xf numFmtId="3" fontId="4" fillId="0" borderId="69" xfId="0" applyNumberFormat="1" applyFont="1" applyBorder="1" applyAlignment="1">
      <alignment horizontal="right" vertical="center"/>
    </xf>
    <xf numFmtId="172" fontId="4" fillId="2" borderId="59" xfId="13" applyNumberFormat="1" applyFont="1" applyFill="1" applyBorder="1" applyAlignment="1">
      <alignment horizontal="right" vertical="center" wrapText="1"/>
    </xf>
    <xf numFmtId="0" fontId="4" fillId="2" borderId="59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" fontId="4" fillId="2" borderId="59" xfId="13" applyNumberFormat="1" applyFont="1" applyFill="1" applyBorder="1" applyAlignment="1">
      <alignment horizontal="right" vertical="center" wrapText="1"/>
    </xf>
    <xf numFmtId="172" fontId="4" fillId="2" borderId="59" xfId="13" applyNumberFormat="1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right" vertical="center"/>
    </xf>
    <xf numFmtId="170" fontId="4" fillId="2" borderId="28" xfId="8" applyNumberFormat="1" applyFont="1" applyFill="1" applyBorder="1" applyAlignment="1">
      <alignment horizontal="right" vertical="center" indent="1"/>
    </xf>
    <xf numFmtId="170" fontId="4" fillId="2" borderId="96" xfId="8" applyNumberFormat="1" applyFont="1" applyFill="1" applyBorder="1" applyAlignment="1">
      <alignment horizontal="right" vertical="center" indent="1"/>
    </xf>
    <xf numFmtId="170" fontId="4" fillId="2" borderId="28" xfId="8" applyNumberFormat="1" applyFont="1" applyFill="1" applyBorder="1" applyAlignment="1">
      <alignment horizontal="right" vertical="center"/>
    </xf>
    <xf numFmtId="170" fontId="4" fillId="2" borderId="96" xfId="8" applyNumberFormat="1" applyFont="1" applyFill="1" applyBorder="1" applyAlignment="1">
      <alignment horizontal="right" vertical="center"/>
    </xf>
    <xf numFmtId="170" fontId="4" fillId="2" borderId="105" xfId="8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0" borderId="0" xfId="0" applyFont="1"/>
    <xf numFmtId="165" fontId="27" fillId="2" borderId="147" xfId="1" applyNumberFormat="1" applyFont="1" applyFill="1" applyBorder="1" applyAlignment="1">
      <alignment horizontal="center" wrapText="1"/>
    </xf>
    <xf numFmtId="165" fontId="9" fillId="2" borderId="84" xfId="1" applyNumberFormat="1" applyFont="1" applyFill="1" applyBorder="1" applyAlignment="1">
      <alignment horizontal="center" vertical="center" wrapText="1"/>
    </xf>
    <xf numFmtId="165" fontId="26" fillId="2" borderId="84" xfId="1" applyNumberFormat="1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/>
    </xf>
    <xf numFmtId="0" fontId="9" fillId="2" borderId="145" xfId="0" applyFont="1" applyFill="1" applyBorder="1"/>
    <xf numFmtId="9" fontId="61" fillId="2" borderId="144" xfId="2" applyFont="1" applyFill="1" applyBorder="1" applyAlignment="1">
      <alignment horizontal="center"/>
    </xf>
    <xf numFmtId="9" fontId="43" fillId="2" borderId="84" xfId="2" applyFont="1" applyFill="1" applyBorder="1" applyAlignment="1">
      <alignment horizontal="center" vertical="center" wrapText="1"/>
    </xf>
    <xf numFmtId="9" fontId="25" fillId="2" borderId="84" xfId="2" applyFont="1" applyFill="1" applyBorder="1" applyAlignment="1">
      <alignment horizontal="center" vertical="center" wrapText="1"/>
    </xf>
    <xf numFmtId="168" fontId="22" fillId="2" borderId="144" xfId="0" applyNumberFormat="1" applyFont="1" applyFill="1" applyBorder="1" applyAlignment="1">
      <alignment horizontal="left" indent="2"/>
    </xf>
    <xf numFmtId="9" fontId="25" fillId="2" borderId="146" xfId="2" applyFont="1" applyFill="1" applyBorder="1" applyAlignment="1">
      <alignment horizontal="center" vertical="center" wrapText="1"/>
    </xf>
    <xf numFmtId="172" fontId="22" fillId="2" borderId="137" xfId="13" applyNumberFormat="1" applyFont="1" applyFill="1" applyBorder="1" applyAlignment="1"/>
    <xf numFmtId="172" fontId="9" fillId="2" borderId="136" xfId="13" applyNumberFormat="1" applyFont="1" applyFill="1" applyBorder="1" applyAlignment="1">
      <alignment vertical="center" wrapText="1"/>
    </xf>
    <xf numFmtId="0" fontId="26" fillId="2" borderId="84" xfId="1" applyFont="1" applyFill="1" applyBorder="1" applyAlignment="1">
      <alignment horizontal="center" vertical="center" wrapText="1"/>
    </xf>
    <xf numFmtId="172" fontId="9" fillId="2" borderId="142" xfId="13" applyNumberFormat="1" applyFont="1" applyFill="1" applyBorder="1" applyAlignment="1">
      <alignment vertical="center" wrapText="1"/>
    </xf>
    <xf numFmtId="165" fontId="26" fillId="2" borderId="148" xfId="1" applyNumberFormat="1" applyFont="1" applyFill="1" applyBorder="1" applyAlignment="1">
      <alignment horizontal="center" wrapText="1"/>
    </xf>
    <xf numFmtId="170" fontId="27" fillId="2" borderId="58" xfId="8" applyNumberFormat="1" applyFont="1" applyFill="1" applyBorder="1" applyAlignment="1">
      <alignment horizontal="center" vertical="center" wrapText="1"/>
    </xf>
    <xf numFmtId="170" fontId="27" fillId="2" borderId="121" xfId="8" applyNumberFormat="1" applyFont="1" applyFill="1" applyBorder="1" applyAlignment="1">
      <alignment horizontal="left" vertical="center" wrapText="1" indent="3"/>
    </xf>
    <xf numFmtId="170" fontId="26" fillId="2" borderId="122" xfId="8" applyNumberFormat="1" applyFont="1" applyFill="1" applyBorder="1" applyAlignment="1">
      <alignment horizontal="left" vertical="center" wrapText="1" indent="3"/>
    </xf>
    <xf numFmtId="170" fontId="27" fillId="2" borderId="123" xfId="8" applyNumberFormat="1" applyFont="1" applyFill="1" applyBorder="1" applyAlignment="1">
      <alignment horizontal="left" vertical="center" wrapText="1" indent="3"/>
    </xf>
    <xf numFmtId="170" fontId="60" fillId="2" borderId="108" xfId="8" applyNumberFormat="1" applyFont="1" applyFill="1" applyBorder="1" applyAlignment="1">
      <alignment horizontal="center" vertical="center" wrapText="1"/>
    </xf>
    <xf numFmtId="170" fontId="26" fillId="2" borderId="124" xfId="8" applyNumberFormat="1" applyFont="1" applyFill="1" applyBorder="1" applyAlignment="1">
      <alignment horizontal="left" vertical="center" wrapText="1" indent="3"/>
    </xf>
    <xf numFmtId="170" fontId="60" fillId="2" borderId="125" xfId="8" applyNumberFormat="1" applyFont="1" applyFill="1" applyBorder="1" applyAlignment="1">
      <alignment horizontal="left" vertical="center" wrapText="1" indent="3"/>
    </xf>
    <xf numFmtId="170" fontId="26" fillId="2" borderId="122" xfId="8" applyNumberFormat="1" applyFont="1" applyFill="1" applyBorder="1" applyAlignment="1">
      <alignment horizontal="right" vertical="center" wrapText="1"/>
    </xf>
    <xf numFmtId="170" fontId="27" fillId="2" borderId="123" xfId="8" applyNumberFormat="1" applyFont="1" applyFill="1" applyBorder="1" applyAlignment="1">
      <alignment horizontal="right" vertical="center" wrapText="1"/>
    </xf>
    <xf numFmtId="170" fontId="22" fillId="2" borderId="32" xfId="8" applyNumberFormat="1" applyFont="1" applyFill="1" applyBorder="1" applyAlignment="1">
      <alignment horizontal="center" vertical="center"/>
    </xf>
    <xf numFmtId="170" fontId="22" fillId="2" borderId="123" xfId="8" applyNumberFormat="1" applyFont="1" applyFill="1" applyBorder="1" applyAlignment="1">
      <alignment horizontal="right" vertical="center"/>
    </xf>
    <xf numFmtId="170" fontId="65" fillId="2" borderId="121" xfId="8" applyNumberFormat="1" applyFont="1" applyFill="1" applyBorder="1" applyAlignment="1">
      <alignment horizontal="left" vertical="center" wrapText="1" indent="3"/>
    </xf>
    <xf numFmtId="170" fontId="66" fillId="2" borderId="122" xfId="8" applyNumberFormat="1" applyFont="1" applyFill="1" applyBorder="1" applyAlignment="1">
      <alignment horizontal="left" vertical="center" wrapText="1" indent="3"/>
    </xf>
    <xf numFmtId="170" fontId="65" fillId="2" borderId="123" xfId="8" applyNumberFormat="1" applyFont="1" applyFill="1" applyBorder="1" applyAlignment="1">
      <alignment horizontal="left" vertical="center" wrapText="1" indent="3"/>
    </xf>
    <xf numFmtId="170" fontId="66" fillId="2" borderId="124" xfId="8" applyNumberFormat="1" applyFont="1" applyFill="1" applyBorder="1" applyAlignment="1">
      <alignment horizontal="left" vertical="center" wrapText="1" indent="3"/>
    </xf>
    <xf numFmtId="170" fontId="66" fillId="2" borderId="122" xfId="8" applyNumberFormat="1" applyFont="1" applyFill="1" applyBorder="1" applyAlignment="1">
      <alignment horizontal="right" vertical="center" wrapText="1"/>
    </xf>
    <xf numFmtId="170" fontId="65" fillId="2" borderId="123" xfId="8" applyNumberFormat="1" applyFont="1" applyFill="1" applyBorder="1" applyAlignment="1">
      <alignment horizontal="right" vertical="center" wrapText="1"/>
    </xf>
    <xf numFmtId="170" fontId="60" fillId="2" borderId="123" xfId="8" applyNumberFormat="1" applyFont="1" applyFill="1" applyBorder="1" applyAlignment="1">
      <alignment horizontal="right" vertical="center"/>
    </xf>
    <xf numFmtId="166" fontId="25" fillId="2" borderId="0" xfId="2" applyNumberFormat="1" applyFont="1" applyFill="1" applyBorder="1" applyAlignment="1">
      <alignment horizontal="right" vertical="center" wrapText="1"/>
    </xf>
    <xf numFmtId="9" fontId="26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center" vertical="center" wrapText="1"/>
    </xf>
    <xf numFmtId="1" fontId="26" fillId="2" borderId="141" xfId="13" applyNumberFormat="1" applyFont="1" applyFill="1" applyBorder="1" applyAlignment="1">
      <alignment horizontal="right" vertical="center" wrapText="1"/>
    </xf>
    <xf numFmtId="165" fontId="26" fillId="2" borderId="146" xfId="1" applyNumberFormat="1" applyFont="1" applyFill="1" applyBorder="1" applyAlignment="1">
      <alignment horizontal="center" vertical="center" wrapText="1"/>
    </xf>
    <xf numFmtId="1" fontId="26" fillId="2" borderId="0" xfId="13" applyNumberFormat="1" applyFont="1" applyFill="1" applyBorder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horizontal="left"/>
    </xf>
    <xf numFmtId="0" fontId="0" fillId="2" borderId="155" xfId="0" applyFill="1" applyBorder="1" applyAlignment="1">
      <alignment horizontal="left" indent="1"/>
    </xf>
    <xf numFmtId="3" fontId="0" fillId="0" borderId="4" xfId="0" applyNumberFormat="1" applyBorder="1"/>
    <xf numFmtId="0" fontId="0" fillId="0" borderId="61" xfId="0" applyBorder="1"/>
    <xf numFmtId="49" fontId="0" fillId="0" borderId="156" xfId="0" applyNumberFormat="1" applyBorder="1"/>
    <xf numFmtId="0" fontId="26" fillId="2" borderId="135" xfId="13" applyNumberFormat="1" applyFont="1" applyFill="1" applyBorder="1" applyAlignment="1">
      <alignment horizontal="right" vertical="center" wrapText="1"/>
    </xf>
    <xf numFmtId="1" fontId="26" fillId="2" borderId="140" xfId="13" applyNumberFormat="1" applyFont="1" applyFill="1" applyBorder="1" applyAlignment="1">
      <alignment horizontal="right" vertical="center" wrapText="1"/>
    </xf>
    <xf numFmtId="9" fontId="0" fillId="2" borderId="0" xfId="0" applyNumberFormat="1" applyFill="1"/>
    <xf numFmtId="173" fontId="0" fillId="0" borderId="0" xfId="0" applyNumberFormat="1"/>
    <xf numFmtId="1" fontId="22" fillId="0" borderId="1" xfId="0" applyNumberFormat="1" applyFont="1" applyBorder="1" applyAlignment="1">
      <alignment horizontal="right"/>
    </xf>
    <xf numFmtId="1" fontId="9" fillId="0" borderId="59" xfId="13" applyNumberFormat="1" applyFont="1" applyFill="1" applyBorder="1" applyAlignment="1">
      <alignment horizontal="right" vertical="center" wrapText="1"/>
    </xf>
    <xf numFmtId="1" fontId="26" fillId="0" borderId="141" xfId="13" applyNumberFormat="1" applyFont="1" applyFill="1" applyBorder="1" applyAlignment="1">
      <alignment horizontal="right" vertical="center" wrapText="1"/>
    </xf>
    <xf numFmtId="174" fontId="22" fillId="2" borderId="133" xfId="0" applyNumberFormat="1" applyFont="1" applyFill="1" applyBorder="1" applyAlignment="1">
      <alignment horizontal="right"/>
    </xf>
    <xf numFmtId="174" fontId="22" fillId="2" borderId="127" xfId="0" applyNumberFormat="1" applyFont="1" applyFill="1" applyBorder="1" applyAlignment="1">
      <alignment horizontal="right"/>
    </xf>
    <xf numFmtId="174" fontId="22" fillId="2" borderId="128" xfId="0" applyNumberFormat="1" applyFont="1" applyFill="1" applyBorder="1" applyAlignment="1">
      <alignment horizontal="right"/>
    </xf>
    <xf numFmtId="174" fontId="22" fillId="2" borderId="1" xfId="0" applyNumberFormat="1" applyFont="1" applyFill="1" applyBorder="1" applyAlignment="1">
      <alignment horizontal="right"/>
    </xf>
    <xf numFmtId="1" fontId="3" fillId="2" borderId="59" xfId="13" applyNumberFormat="1" applyFont="1" applyFill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/>
    </xf>
    <xf numFmtId="168" fontId="22" fillId="8" borderId="144" xfId="0" applyNumberFormat="1" applyFont="1" applyFill="1" applyBorder="1" applyAlignment="1">
      <alignment horizontal="left" indent="2"/>
    </xf>
    <xf numFmtId="165" fontId="26" fillId="8" borderId="84" xfId="1" applyNumberFormat="1" applyFont="1" applyFill="1" applyBorder="1" applyAlignment="1">
      <alignment horizontal="center" vertical="center" wrapText="1"/>
    </xf>
    <xf numFmtId="0" fontId="9" fillId="8" borderId="145" xfId="0" applyFont="1" applyFill="1" applyBorder="1"/>
    <xf numFmtId="9" fontId="61" fillId="8" borderId="144" xfId="2" applyFont="1" applyFill="1" applyBorder="1" applyAlignment="1">
      <alignment horizontal="center"/>
    </xf>
    <xf numFmtId="9" fontId="43" fillId="8" borderId="84" xfId="2" applyFont="1" applyFill="1" applyBorder="1" applyAlignment="1">
      <alignment horizontal="center" vertical="center" wrapText="1"/>
    </xf>
    <xf numFmtId="9" fontId="25" fillId="8" borderId="146" xfId="2" applyFont="1" applyFill="1" applyBorder="1" applyAlignment="1">
      <alignment horizontal="center" vertical="center" wrapText="1"/>
    </xf>
    <xf numFmtId="1" fontId="22" fillId="8" borderId="1" xfId="0" applyNumberFormat="1" applyFont="1" applyFill="1" applyBorder="1" applyAlignment="1">
      <alignment horizontal="right"/>
    </xf>
    <xf numFmtId="1" fontId="9" fillId="8" borderId="59" xfId="13" applyNumberFormat="1" applyFont="1" applyFill="1" applyBorder="1" applyAlignment="1">
      <alignment horizontal="right" vertical="center" wrapText="1"/>
    </xf>
    <xf numFmtId="1" fontId="26" fillId="8" borderId="59" xfId="13" applyNumberFormat="1" applyFont="1" applyFill="1" applyBorder="1" applyAlignment="1">
      <alignment horizontal="right" vertical="center" wrapText="1"/>
    </xf>
    <xf numFmtId="0" fontId="9" fillId="8" borderId="2" xfId="0" applyFont="1" applyFill="1" applyBorder="1" applyAlignment="1">
      <alignment horizontal="right"/>
    </xf>
    <xf numFmtId="166" fontId="61" fillId="8" borderId="1" xfId="2" applyNumberFormat="1" applyFont="1" applyFill="1" applyBorder="1" applyAlignment="1">
      <alignment horizontal="right"/>
    </xf>
    <xf numFmtId="166" fontId="43" fillId="8" borderId="59" xfId="2" applyNumberFormat="1" applyFont="1" applyFill="1" applyBorder="1" applyAlignment="1">
      <alignment horizontal="right" vertical="center" wrapText="1"/>
    </xf>
    <xf numFmtId="166" fontId="25" fillId="8" borderId="59" xfId="2" applyNumberFormat="1" applyFont="1" applyFill="1" applyBorder="1" applyAlignment="1">
      <alignment horizontal="right" vertical="center" wrapText="1"/>
    </xf>
    <xf numFmtId="166" fontId="25" fillId="8" borderId="141" xfId="2" applyNumberFormat="1" applyFont="1" applyFill="1" applyBorder="1" applyAlignment="1">
      <alignment horizontal="right" vertical="center" wrapText="1"/>
    </xf>
    <xf numFmtId="1" fontId="22" fillId="8" borderId="128" xfId="0" applyNumberFormat="1" applyFont="1" applyFill="1" applyBorder="1" applyAlignment="1">
      <alignment horizontal="right"/>
    </xf>
    <xf numFmtId="1" fontId="9" fillId="8" borderId="135" xfId="13" applyNumberFormat="1" applyFont="1" applyFill="1" applyBorder="1" applyAlignment="1">
      <alignment horizontal="right" vertical="center" wrapText="1"/>
    </xf>
    <xf numFmtId="1" fontId="26" fillId="8" borderId="135" xfId="13" applyNumberFormat="1" applyFont="1" applyFill="1" applyBorder="1" applyAlignment="1">
      <alignment horizontal="right" vertical="center" wrapText="1"/>
    </xf>
    <xf numFmtId="0" fontId="9" fillId="8" borderId="138" xfId="0" applyFont="1" applyFill="1" applyBorder="1" applyAlignment="1">
      <alignment horizontal="right"/>
    </xf>
    <xf numFmtId="166" fontId="61" fillId="8" borderId="128" xfId="2" applyNumberFormat="1" applyFont="1" applyFill="1" applyBorder="1" applyAlignment="1">
      <alignment horizontal="right"/>
    </xf>
    <xf numFmtId="166" fontId="43" fillId="8" borderId="135" xfId="2" applyNumberFormat="1" applyFont="1" applyFill="1" applyBorder="1" applyAlignment="1">
      <alignment horizontal="right" vertical="center" wrapText="1"/>
    </xf>
    <xf numFmtId="166" fontId="25" fillId="8" borderId="135" xfId="2" applyNumberFormat="1" applyFont="1" applyFill="1" applyBorder="1" applyAlignment="1">
      <alignment horizontal="right" vertical="center" wrapText="1"/>
    </xf>
    <xf numFmtId="166" fontId="25" fillId="8" borderId="140" xfId="2" applyNumberFormat="1" applyFont="1" applyFill="1" applyBorder="1" applyAlignment="1">
      <alignment horizontal="right" vertical="center" wrapText="1"/>
    </xf>
    <xf numFmtId="165" fontId="67" fillId="2" borderId="28" xfId="1" applyNumberFormat="1" applyFont="1" applyFill="1" applyBorder="1" applyAlignment="1">
      <alignment horizontal="center" vertical="center" wrapText="1"/>
    </xf>
    <xf numFmtId="1" fontId="22" fillId="2" borderId="157" xfId="0" applyNumberFormat="1" applyFont="1" applyFill="1" applyBorder="1" applyAlignment="1">
      <alignment horizontal="right"/>
    </xf>
    <xf numFmtId="172" fontId="1" fillId="2" borderId="136" xfId="13" applyNumberFormat="1" applyFont="1" applyFill="1" applyBorder="1" applyAlignment="1">
      <alignment horizontal="center" vertical="center" wrapText="1"/>
    </xf>
    <xf numFmtId="165" fontId="1" fillId="2" borderId="142" xfId="1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169" fontId="59" fillId="0" borderId="96" xfId="1" applyNumberFormat="1" applyFont="1" applyBorder="1" applyAlignment="1">
      <alignment horizontal="center" vertical="center" wrapText="1"/>
    </xf>
    <xf numFmtId="165" fontId="26" fillId="2" borderId="84" xfId="1" applyNumberFormat="1" applyFont="1" applyFill="1" applyBorder="1" applyAlignment="1">
      <alignment horizontal="center" wrapText="1"/>
    </xf>
    <xf numFmtId="165" fontId="26" fillId="2" borderId="146" xfId="1" applyNumberFormat="1" applyFont="1" applyFill="1" applyBorder="1" applyAlignment="1">
      <alignment horizontal="center" wrapText="1"/>
    </xf>
    <xf numFmtId="168" fontId="22" fillId="2" borderId="144" xfId="0" applyNumberFormat="1" applyFont="1" applyFill="1" applyBorder="1" applyAlignment="1">
      <alignment horizontal="center"/>
    </xf>
    <xf numFmtId="1" fontId="0" fillId="2" borderId="0" xfId="0" applyNumberFormat="1" applyFill="1"/>
    <xf numFmtId="0" fontId="12" fillId="0" borderId="158" xfId="0" applyFont="1" applyBorder="1" applyAlignment="1">
      <alignment wrapText="1"/>
    </xf>
    <xf numFmtId="10" fontId="0" fillId="2" borderId="0" xfId="0" applyNumberFormat="1" applyFill="1"/>
    <xf numFmtId="2" fontId="0" fillId="2" borderId="0" xfId="0" applyNumberFormat="1" applyFill="1"/>
    <xf numFmtId="0" fontId="69" fillId="6" borderId="23" xfId="0" applyFont="1" applyFill="1" applyBorder="1" applyAlignment="1">
      <alignment horizontal="center"/>
    </xf>
    <xf numFmtId="0" fontId="68" fillId="3" borderId="0" xfId="0" applyFont="1" applyFill="1" applyAlignment="1">
      <alignment horizontal="center" vertical="center" textRotation="90"/>
    </xf>
    <xf numFmtId="0" fontId="30" fillId="0" borderId="62" xfId="0" applyFont="1" applyBorder="1" applyAlignment="1">
      <alignment horizontal="center" vertical="center" textRotation="90" wrapText="1"/>
    </xf>
    <xf numFmtId="0" fontId="30" fillId="0" borderId="78" xfId="0" applyFont="1" applyBorder="1" applyAlignment="1">
      <alignment horizontal="center" vertical="center" textRotation="90" wrapText="1"/>
    </xf>
    <xf numFmtId="0" fontId="53" fillId="3" borderId="0" xfId="0" applyFont="1" applyFill="1" applyAlignment="1">
      <alignment horizontal="center" vertical="center" textRotation="90"/>
    </xf>
    <xf numFmtId="0" fontId="30" fillId="0" borderId="63" xfId="0" applyFont="1" applyBorder="1" applyAlignment="1">
      <alignment horizontal="center" vertical="center" textRotation="90" wrapText="1"/>
    </xf>
    <xf numFmtId="0" fontId="30" fillId="0" borderId="62" xfId="0" applyFont="1" applyBorder="1" applyAlignment="1">
      <alignment horizontal="right" vertical="center" textRotation="90" wrapText="1"/>
    </xf>
    <xf numFmtId="0" fontId="30" fillId="0" borderId="63" xfId="0" applyFont="1" applyBorder="1" applyAlignment="1">
      <alignment horizontal="right" vertical="center" textRotation="90" wrapText="1"/>
    </xf>
    <xf numFmtId="0" fontId="30" fillId="0" borderId="78" xfId="0" applyFont="1" applyBorder="1" applyAlignment="1">
      <alignment horizontal="right" vertical="center" textRotation="90" wrapText="1"/>
    </xf>
    <xf numFmtId="0" fontId="24" fillId="6" borderId="23" xfId="0" applyFont="1" applyFill="1" applyBorder="1" applyAlignment="1">
      <alignment horizontal="center"/>
    </xf>
    <xf numFmtId="0" fontId="36" fillId="0" borderId="0" xfId="0" applyFont="1" applyAlignment="1">
      <alignment horizontal="left" wrapText="1"/>
    </xf>
    <xf numFmtId="0" fontId="62" fillId="7" borderId="23" xfId="0" applyFont="1" applyFill="1" applyBorder="1" applyAlignment="1">
      <alignment horizontal="center" vertical="center"/>
    </xf>
    <xf numFmtId="0" fontId="62" fillId="7" borderId="23" xfId="0" applyFont="1" applyFill="1" applyBorder="1" applyAlignment="1">
      <alignment horizontal="left" vertical="center"/>
    </xf>
    <xf numFmtId="0" fontId="62" fillId="7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44" fillId="5" borderId="22" xfId="0" applyFont="1" applyFill="1" applyBorder="1" applyAlignment="1">
      <alignment horizontal="center"/>
    </xf>
    <xf numFmtId="0" fontId="44" fillId="5" borderId="23" xfId="0" applyFont="1" applyFill="1" applyBorder="1" applyAlignment="1">
      <alignment horizontal="center"/>
    </xf>
    <xf numFmtId="0" fontId="44" fillId="5" borderId="24" xfId="0" applyFont="1" applyFill="1" applyBorder="1" applyAlignment="1">
      <alignment horizontal="center"/>
    </xf>
    <xf numFmtId="0" fontId="44" fillId="5" borderId="17" xfId="0" applyFont="1" applyFill="1" applyBorder="1" applyAlignment="1">
      <alignment horizontal="center"/>
    </xf>
    <xf numFmtId="0" fontId="44" fillId="5" borderId="0" xfId="0" applyFont="1" applyFill="1" applyAlignment="1">
      <alignment horizontal="center"/>
    </xf>
    <xf numFmtId="0" fontId="44" fillId="5" borderId="18" xfId="0" applyFont="1" applyFill="1" applyBorder="1" applyAlignment="1">
      <alignment horizontal="center"/>
    </xf>
  </cellXfs>
  <cellStyles count="15">
    <cellStyle name="Dziesiętny" xfId="13" builtinId="3"/>
    <cellStyle name="Dziesiętny 2" xfId="8" xr:uid="{00000000-0005-0000-0000-000001000000}"/>
    <cellStyle name="Normal 2 4" xfId="6" xr:uid="{00000000-0005-0000-0000-000002000000}"/>
    <cellStyle name="Normal 2 4 2" xfId="1" xr:uid="{00000000-0005-0000-0000-000003000000}"/>
    <cellStyle name="Normal 2 4 2 2" xfId="4" xr:uid="{00000000-0005-0000-0000-000004000000}"/>
    <cellStyle name="Normal 2 4 2 2 2" xfId="5" xr:uid="{00000000-0005-0000-0000-000005000000}"/>
    <cellStyle name="Normal 2 4 2 2 2 2" xfId="7" xr:uid="{00000000-0005-0000-0000-000006000000}"/>
    <cellStyle name="Normal 2 4 2 2 2 2 2" xfId="10" xr:uid="{00000000-0005-0000-0000-000007000000}"/>
    <cellStyle name="Normal 2 4 2 2 2 2 2 2" xfId="14" xr:uid="{00000000-0005-0000-0000-000008000000}"/>
    <cellStyle name="Normal 2 4 2 3" xfId="9" xr:uid="{00000000-0005-0000-0000-000009000000}"/>
    <cellStyle name="Normal 44" xfId="3" xr:uid="{00000000-0005-0000-0000-00000A000000}"/>
    <cellStyle name="Normalny" xfId="0" builtinId="0"/>
    <cellStyle name="Normalny 2 10" xfId="12" xr:uid="{00000000-0005-0000-0000-00000C000000}"/>
    <cellStyle name="Normalny 2 14" xfId="11" xr:uid="{00000000-0005-0000-0000-00000D000000}"/>
    <cellStyle name="Procentowy" xfId="2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A5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586740"/>
          <a:ext cx="547116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CCC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CCC Group</a:t>
          </a:r>
          <a:b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l-PL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Essential financial data under </a:t>
          </a:r>
          <a:r>
            <a:rPr lang="pl-PL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IFRS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400"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15240</xdr:colOff>
      <xdr:row>14</xdr:row>
      <xdr:rowOff>167638</xdr:rowOff>
    </xdr:from>
    <xdr:to>
      <xdr:col>4</xdr:col>
      <xdr:colOff>598440</xdr:colOff>
      <xdr:row>25</xdr:row>
      <xdr:rowOff>30480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4840" y="2727958"/>
          <a:ext cx="2412000" cy="1874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</a:t>
          </a:r>
          <a:r>
            <a:rPr lang="pl-PL" sz="1000"/>
            <a:t>CCC,</a:t>
          </a:r>
          <a:r>
            <a:rPr lang="en-GB" sz="1000"/>
            <a:t> zawartych w raportach okresowych Grupy </a:t>
          </a:r>
          <a:r>
            <a:rPr lang="pl-PL" sz="1000"/>
            <a:t>CCC</a:t>
          </a:r>
          <a:r>
            <a:rPr lang="en-GB" sz="1000"/>
            <a:t>. </a:t>
          </a:r>
        </a:p>
      </xdr:txBody>
    </xdr:sp>
    <xdr:clientData/>
  </xdr:twoCellAnchor>
  <xdr:twoCellAnchor>
    <xdr:from>
      <xdr:col>5</xdr:col>
      <xdr:colOff>594360</xdr:colOff>
      <xdr:row>14</xdr:row>
      <xdr:rowOff>152398</xdr:rowOff>
    </xdr:from>
    <xdr:to>
      <xdr:col>9</xdr:col>
      <xdr:colOff>567960</xdr:colOff>
      <xdr:row>25</xdr:row>
      <xdr:rowOff>30479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2360" y="2712718"/>
          <a:ext cx="2412000" cy="1889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THIS DOCUMENT HAS BEEN PREPARED FOR INFORMATION PURPOSES ONLY.</a:t>
          </a:r>
          <a:r>
            <a:rPr lang="pl-PL" sz="1000" b="1" baseline="0"/>
            <a:t> </a:t>
          </a:r>
          <a:r>
            <a:rPr lang="pl-PL" sz="1000" b="1"/>
            <a:t>THE OFFICIAL SOURCE OF FINANCIAL DATA ARE FINANCIAL REPORTS OF CCC S.A.</a:t>
          </a:r>
        </a:p>
        <a:p>
          <a:endParaRPr lang="pl-PL" sz="1000" b="1"/>
        </a:p>
        <a:p>
          <a:r>
            <a:rPr lang="en-GB" sz="1000" b="1"/>
            <a:t>The document was prepared based on Consolidated Financial Statements of the </a:t>
          </a:r>
          <a:r>
            <a:rPr lang="pl-PL" sz="1000" b="1"/>
            <a:t>CCC </a:t>
          </a:r>
          <a:r>
            <a:rPr lang="en-GB" sz="1000" b="1"/>
            <a:t>Group which were included in</a:t>
          </a:r>
          <a:r>
            <a:rPr lang="pl-PL" sz="1000" b="1" baseline="0"/>
            <a:t> </a:t>
          </a:r>
          <a:r>
            <a:rPr lang="en-GB" sz="1000" b="1"/>
            <a:t>Financial Reports of </a:t>
          </a:r>
          <a:r>
            <a:rPr lang="pl-PL" sz="1000" b="1"/>
            <a:t>CCC </a:t>
          </a:r>
          <a:r>
            <a:rPr lang="en-GB" sz="1000" b="1"/>
            <a:t>Group. 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83908</xdr:rowOff>
    </xdr:from>
    <xdr:to>
      <xdr:col>10</xdr:col>
      <xdr:colOff>510335</xdr:colOff>
      <xdr:row>2</xdr:row>
      <xdr:rowOff>133271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C005D86-F8A5-4429-ADF3-EF36CF8E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83908"/>
          <a:ext cx="1081835" cy="41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M58"/>
  <sheetViews>
    <sheetView workbookViewId="0">
      <selection activeCell="H4" sqref="H4"/>
    </sheetView>
  </sheetViews>
  <sheetFormatPr defaultRowHeight="14.6"/>
  <sheetData>
    <row r="1" spans="1:32">
      <c r="A1" s="11"/>
      <c r="B1" s="12"/>
      <c r="C1" s="12"/>
      <c r="D1" s="12"/>
      <c r="E1" s="12"/>
      <c r="F1" s="12"/>
      <c r="G1" s="12"/>
      <c r="H1" s="12"/>
      <c r="I1" s="12"/>
      <c r="J1" s="12"/>
      <c r="K1" s="1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14"/>
      <c r="B2" s="5"/>
      <c r="C2" s="5"/>
      <c r="D2" s="5"/>
      <c r="E2" s="5"/>
      <c r="F2" s="5"/>
      <c r="G2" s="5"/>
      <c r="H2" s="5"/>
      <c r="I2" s="5"/>
      <c r="J2" s="5"/>
      <c r="K2" s="1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14"/>
      <c r="B3" s="5"/>
      <c r="C3" s="5"/>
      <c r="D3" s="5"/>
      <c r="E3" s="5"/>
      <c r="F3" s="5"/>
      <c r="G3" s="5"/>
      <c r="H3" s="5"/>
      <c r="I3" s="5"/>
      <c r="J3" s="5"/>
      <c r="K3" s="1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14"/>
      <c r="B4" s="5"/>
      <c r="C4" s="5"/>
      <c r="D4" s="5"/>
      <c r="E4" s="5"/>
      <c r="F4" s="5"/>
      <c r="G4" s="5"/>
      <c r="H4" s="5"/>
      <c r="I4" s="5"/>
      <c r="J4" s="5"/>
      <c r="K4" s="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14"/>
      <c r="B5" s="5"/>
      <c r="C5" s="5"/>
      <c r="D5" s="5"/>
      <c r="E5" s="5"/>
      <c r="F5" s="5"/>
      <c r="G5" s="5"/>
      <c r="H5" s="5"/>
      <c r="I5" s="5"/>
      <c r="J5" s="5"/>
      <c r="K5" s="1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14"/>
      <c r="B6" s="5"/>
      <c r="C6" s="5"/>
      <c r="D6" s="5"/>
      <c r="E6" s="5"/>
      <c r="F6" s="5"/>
      <c r="G6" s="5"/>
      <c r="H6" s="5"/>
      <c r="I6" s="5"/>
      <c r="J6" s="5"/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14"/>
      <c r="B7" s="5"/>
      <c r="C7" s="5"/>
      <c r="D7" s="5"/>
      <c r="E7" s="5"/>
      <c r="F7" s="5"/>
      <c r="G7" s="5"/>
      <c r="H7" s="5"/>
      <c r="I7" s="5"/>
      <c r="J7" s="5"/>
      <c r="K7" s="1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14"/>
      <c r="B8" s="5"/>
      <c r="C8" s="5"/>
      <c r="D8" s="5"/>
      <c r="E8" s="5"/>
      <c r="F8" s="5"/>
      <c r="G8" s="5"/>
      <c r="H8" s="5"/>
      <c r="I8" s="5"/>
      <c r="J8" s="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14"/>
      <c r="B9" s="5"/>
      <c r="C9" s="5"/>
      <c r="D9" s="5"/>
      <c r="E9" s="5"/>
      <c r="F9" s="5"/>
      <c r="G9" s="5"/>
      <c r="H9" s="5"/>
      <c r="I9" s="5"/>
      <c r="J9" s="5"/>
      <c r="K9" s="1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14"/>
      <c r="B10" s="5"/>
      <c r="C10" s="5"/>
      <c r="D10" s="5"/>
      <c r="E10" s="5"/>
      <c r="F10" s="5"/>
      <c r="G10" s="5"/>
      <c r="H10" s="5"/>
      <c r="I10" s="5"/>
      <c r="J10" s="5"/>
      <c r="K10" s="1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14"/>
      <c r="B11" s="5"/>
      <c r="C11" s="5"/>
      <c r="D11" s="5"/>
      <c r="E11" s="5"/>
      <c r="F11" s="5"/>
      <c r="G11" s="5"/>
      <c r="H11" s="5"/>
      <c r="I11" s="5"/>
      <c r="J11" s="5"/>
      <c r="K11" s="1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14"/>
      <c r="B12" s="5"/>
      <c r="C12" s="5"/>
      <c r="D12" s="5"/>
      <c r="E12" s="5"/>
      <c r="F12" s="5"/>
      <c r="G12" s="5"/>
      <c r="H12" s="5"/>
      <c r="I12" s="5"/>
      <c r="J12" s="5"/>
      <c r="K12" s="1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14"/>
      <c r="B13" s="5"/>
      <c r="C13" s="5"/>
      <c r="D13" s="5"/>
      <c r="E13" s="5"/>
      <c r="F13" s="5"/>
      <c r="G13" s="5"/>
      <c r="H13" s="5"/>
      <c r="I13" s="5"/>
      <c r="J13" s="5"/>
      <c r="K13" s="1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14"/>
      <c r="B14" s="5"/>
      <c r="C14" s="5"/>
      <c r="D14" s="5"/>
      <c r="E14" s="5"/>
      <c r="F14" s="5"/>
      <c r="G14" s="5"/>
      <c r="H14" s="5"/>
      <c r="I14" s="5"/>
      <c r="J14" s="5"/>
      <c r="K14" s="1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>
      <c r="A15" s="14"/>
      <c r="B15" s="5"/>
      <c r="C15" s="5"/>
      <c r="D15" s="5"/>
      <c r="E15" s="5"/>
      <c r="F15" s="5"/>
      <c r="G15" s="5"/>
      <c r="H15" s="5"/>
      <c r="I15" s="5"/>
      <c r="J15" s="5"/>
      <c r="K15" s="1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>
      <c r="A16" s="14"/>
      <c r="B16" s="5"/>
      <c r="C16" s="5"/>
      <c r="D16" s="5"/>
      <c r="E16" s="5"/>
      <c r="F16" s="5"/>
      <c r="G16" s="5"/>
      <c r="H16" s="5"/>
      <c r="I16" s="5"/>
      <c r="J16" s="5"/>
      <c r="K16" s="1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9">
      <c r="A17" s="14"/>
      <c r="B17" s="5"/>
      <c r="C17" s="5"/>
      <c r="D17" s="5"/>
      <c r="E17" s="5"/>
      <c r="F17" s="5"/>
      <c r="G17" s="5"/>
      <c r="H17" s="5"/>
      <c r="I17" s="5"/>
      <c r="J17" s="5"/>
      <c r="K17" s="1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9">
      <c r="A18" s="14"/>
      <c r="B18" s="5"/>
      <c r="C18" s="5"/>
      <c r="D18" s="5"/>
      <c r="E18" s="5"/>
      <c r="F18" s="5"/>
      <c r="G18" s="5"/>
      <c r="H18" s="5"/>
      <c r="I18" s="5"/>
      <c r="J18" s="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9">
      <c r="A19" s="14"/>
      <c r="B19" s="5"/>
      <c r="C19" s="5"/>
      <c r="D19" s="5"/>
      <c r="E19" s="5"/>
      <c r="F19" s="5"/>
      <c r="G19" s="5"/>
      <c r="H19" s="5"/>
      <c r="I19" s="5"/>
      <c r="J19" s="5"/>
      <c r="K19" s="1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9">
      <c r="A20" s="14"/>
      <c r="B20" s="5"/>
      <c r="C20" s="5"/>
      <c r="D20" s="5"/>
      <c r="E20" s="5"/>
      <c r="F20" s="5"/>
      <c r="G20" s="5"/>
      <c r="H20" s="5"/>
      <c r="I20" s="5"/>
      <c r="J20" s="5"/>
      <c r="K20" s="1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9">
      <c r="A21" s="14"/>
      <c r="B21" s="5"/>
      <c r="C21" s="5"/>
      <c r="D21" s="5"/>
      <c r="E21" s="5"/>
      <c r="F21" s="5"/>
      <c r="G21" s="5"/>
      <c r="H21" s="5"/>
      <c r="I21" s="5"/>
      <c r="J21" s="5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9">
      <c r="A22" s="14"/>
      <c r="B22" s="5"/>
      <c r="C22" s="5"/>
      <c r="D22" s="5"/>
      <c r="E22" s="5"/>
      <c r="F22" s="5"/>
      <c r="G22" s="5"/>
      <c r="H22" s="5"/>
      <c r="I22" s="5"/>
      <c r="J22" s="5"/>
      <c r="K22" s="1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9">
      <c r="A23" s="14"/>
      <c r="B23" s="5"/>
      <c r="C23" s="5"/>
      <c r="D23" s="5"/>
      <c r="E23" s="5"/>
      <c r="F23" s="5"/>
      <c r="G23" s="5"/>
      <c r="H23" s="5"/>
      <c r="I23" s="5"/>
      <c r="J23" s="5"/>
      <c r="K23" s="1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9">
      <c r="A24" s="14"/>
      <c r="B24" s="5"/>
      <c r="C24" s="5"/>
      <c r="D24" s="5"/>
      <c r="E24" s="5"/>
      <c r="F24" s="5"/>
      <c r="G24" s="5"/>
      <c r="H24" s="5"/>
      <c r="I24" s="5"/>
      <c r="J24" s="5"/>
      <c r="K24" s="1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9">
      <c r="A25" s="14"/>
      <c r="B25" s="5"/>
      <c r="C25" s="5"/>
      <c r="D25" s="5"/>
      <c r="E25" s="5"/>
      <c r="F25" s="5"/>
      <c r="G25" s="5"/>
      <c r="H25" s="5"/>
      <c r="I25" s="5"/>
      <c r="J25" s="5"/>
      <c r="K25" s="1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9" ht="15" thickBo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4.9989318521683403E-2"/>
  </sheetPr>
  <dimension ref="A1:AV85"/>
  <sheetViews>
    <sheetView showGridLines="0" tabSelected="1" topLeftCell="A70" zoomScaleNormal="100" workbookViewId="0">
      <pane xSplit="3" topLeftCell="AG1" activePane="topRight" state="frozen"/>
      <selection pane="topRight" activeCell="AS81" sqref="AS81:AV81"/>
    </sheetView>
  </sheetViews>
  <sheetFormatPr defaultRowHeight="14.6" outlineLevelRow="3" outlineLevelCol="1"/>
  <cols>
    <col min="1" max="1" width="11.3828125" customWidth="1"/>
    <col min="2" max="2" width="6.84375" customWidth="1"/>
    <col min="3" max="3" width="37.3828125" bestFit="1" customWidth="1"/>
    <col min="4" max="4" width="38.53515625" bestFit="1" customWidth="1"/>
    <col min="5" max="7" width="17.15234375" hidden="1" customWidth="1" outlineLevel="1"/>
    <col min="8" max="8" width="17.15234375" customWidth="1" collapsed="1"/>
    <col min="9" max="9" width="5.3828125" customWidth="1"/>
    <col min="10" max="12" width="17.15234375" hidden="1" customWidth="1" outlineLevel="1"/>
    <col min="13" max="13" width="17.15234375" customWidth="1" collapsed="1"/>
    <col min="14" max="14" width="5.3828125" customWidth="1"/>
    <col min="15" max="17" width="17.15234375" hidden="1" customWidth="1" outlineLevel="1"/>
    <col min="18" max="18" width="17.15234375" customWidth="1" collapsed="1"/>
    <col min="20" max="22" width="12.3828125" hidden="1" customWidth="1" outlineLevel="1"/>
    <col min="23" max="23" width="12.3828125" customWidth="1" collapsed="1"/>
    <col min="25" max="25" width="11.84375" hidden="1" customWidth="1" outlineLevel="1"/>
    <col min="26" max="26" width="12.3046875" hidden="1" customWidth="1" outlineLevel="1"/>
    <col min="27" max="27" width="12" hidden="1" customWidth="1" outlineLevel="1"/>
    <col min="28" max="28" width="12" bestFit="1" customWidth="1" collapsed="1"/>
    <col min="30" max="32" width="12.3046875" customWidth="1" outlineLevel="1"/>
    <col min="33" max="33" width="12.3046875" bestFit="1" customWidth="1"/>
    <col min="35" max="37" width="14.3046875" hidden="1" customWidth="1" outlineLevel="1"/>
    <col min="38" max="38" width="12.3828125" bestFit="1" customWidth="1" collapsed="1"/>
    <col min="40" max="43" width="11.3828125" bestFit="1" customWidth="1"/>
    <col min="45" max="48" width="11.3828125" bestFit="1" customWidth="1"/>
  </cols>
  <sheetData>
    <row r="1" spans="1:48" ht="15.9">
      <c r="E1" s="58"/>
      <c r="F1" s="58"/>
      <c r="G1" s="58"/>
      <c r="H1" s="59">
        <v>2018</v>
      </c>
      <c r="J1" s="58"/>
      <c r="K1" s="58"/>
      <c r="L1" s="58"/>
      <c r="M1" s="59">
        <v>2019</v>
      </c>
      <c r="N1" s="5"/>
      <c r="O1" s="58"/>
      <c r="P1" s="58"/>
      <c r="Q1" s="58"/>
      <c r="R1" s="59">
        <v>2020</v>
      </c>
      <c r="S1" s="5"/>
      <c r="T1" s="58"/>
      <c r="U1" s="58"/>
      <c r="V1" s="58"/>
      <c r="W1" s="59" t="s">
        <v>0</v>
      </c>
      <c r="X1" s="5"/>
      <c r="Y1" s="617">
        <v>2021</v>
      </c>
      <c r="Z1" s="617"/>
      <c r="AA1" s="617"/>
      <c r="AB1" s="617"/>
      <c r="AC1" s="5"/>
      <c r="AD1" s="617">
        <v>2022</v>
      </c>
      <c r="AE1" s="617"/>
      <c r="AF1" s="617"/>
      <c r="AG1" s="617"/>
      <c r="AI1" s="617">
        <v>2023</v>
      </c>
      <c r="AJ1" s="617"/>
      <c r="AK1" s="617"/>
      <c r="AL1" s="617"/>
      <c r="AN1" s="608">
        <v>2024</v>
      </c>
      <c r="AO1" s="608"/>
      <c r="AP1" s="608"/>
      <c r="AQ1" s="608"/>
      <c r="AS1" s="608">
        <v>2025</v>
      </c>
      <c r="AT1" s="608"/>
      <c r="AU1" s="608"/>
      <c r="AV1" s="608"/>
    </row>
    <row r="2" spans="1:48" ht="15.65" customHeight="1" thickBot="1">
      <c r="C2" s="130" t="s">
        <v>1</v>
      </c>
      <c r="D2" s="130" t="s">
        <v>2</v>
      </c>
      <c r="E2" s="131">
        <v>43190</v>
      </c>
      <c r="F2" s="132" t="s">
        <v>3</v>
      </c>
      <c r="G2" s="132" t="s">
        <v>4</v>
      </c>
      <c r="H2" s="132" t="s">
        <v>5</v>
      </c>
      <c r="I2" s="132"/>
      <c r="J2" s="131" t="s">
        <v>6</v>
      </c>
      <c r="K2" s="131">
        <v>43646</v>
      </c>
      <c r="L2" s="131">
        <v>43738</v>
      </c>
      <c r="M2" s="131">
        <v>43830</v>
      </c>
      <c r="N2" s="137"/>
      <c r="O2" s="131">
        <v>43921</v>
      </c>
      <c r="P2" s="131">
        <v>44012</v>
      </c>
      <c r="Q2" s="131">
        <v>44104</v>
      </c>
      <c r="R2" s="131">
        <v>44196</v>
      </c>
      <c r="S2" s="137"/>
      <c r="T2" s="133">
        <v>43951</v>
      </c>
      <c r="U2" s="134">
        <v>44043</v>
      </c>
      <c r="V2" s="135">
        <v>44135</v>
      </c>
      <c r="W2" s="136">
        <v>44227</v>
      </c>
      <c r="X2" s="137"/>
      <c r="Y2" s="133">
        <v>44316</v>
      </c>
      <c r="Z2" s="134">
        <v>44408</v>
      </c>
      <c r="AA2" s="135">
        <v>44500</v>
      </c>
      <c r="AB2" s="136">
        <v>44592</v>
      </c>
      <c r="AC2" s="137"/>
      <c r="AD2" s="133">
        <v>44681</v>
      </c>
      <c r="AE2" s="134">
        <v>44773</v>
      </c>
      <c r="AF2" s="135">
        <v>44865</v>
      </c>
      <c r="AG2" s="136">
        <v>44957</v>
      </c>
      <c r="AI2" s="133">
        <v>45046</v>
      </c>
      <c r="AJ2" s="134">
        <v>45138</v>
      </c>
      <c r="AK2" s="135">
        <v>45230</v>
      </c>
      <c r="AL2" s="136">
        <v>45322</v>
      </c>
      <c r="AN2" s="64">
        <v>45412</v>
      </c>
      <c r="AO2" s="28">
        <v>45504</v>
      </c>
      <c r="AP2" s="68">
        <v>45596</v>
      </c>
      <c r="AQ2" s="29">
        <v>45688</v>
      </c>
      <c r="AS2" s="64">
        <v>45777</v>
      </c>
      <c r="AT2" s="28">
        <v>45869</v>
      </c>
      <c r="AU2" s="68">
        <v>45961</v>
      </c>
      <c r="AV2" s="29">
        <v>46053</v>
      </c>
    </row>
    <row r="3" spans="1:48" ht="22.4" customHeight="1" outlineLevel="2" thickTop="1">
      <c r="A3" s="612" t="s">
        <v>271</v>
      </c>
      <c r="B3" s="610" t="s">
        <v>7</v>
      </c>
      <c r="C3" s="559" t="s">
        <v>8</v>
      </c>
      <c r="D3" s="44" t="s">
        <v>9</v>
      </c>
      <c r="E3" s="411">
        <v>450</v>
      </c>
      <c r="F3" s="411">
        <v>462</v>
      </c>
      <c r="G3" s="411">
        <v>465</v>
      </c>
      <c r="H3" s="411">
        <v>466</v>
      </c>
      <c r="I3" s="412"/>
      <c r="J3" s="413">
        <v>467</v>
      </c>
      <c r="K3" s="411">
        <v>472</v>
      </c>
      <c r="L3" s="414">
        <v>472</v>
      </c>
      <c r="M3" s="415">
        <v>473</v>
      </c>
      <c r="N3" s="412"/>
      <c r="O3" s="413">
        <v>470</v>
      </c>
      <c r="P3" s="411">
        <v>469</v>
      </c>
      <c r="Q3" s="414">
        <v>472</v>
      </c>
      <c r="R3" s="415">
        <v>470</v>
      </c>
      <c r="S3" s="5"/>
      <c r="T3" s="415">
        <v>469</v>
      </c>
      <c r="U3" s="415">
        <v>470</v>
      </c>
      <c r="V3" s="415">
        <v>470</v>
      </c>
      <c r="W3" s="415">
        <v>462</v>
      </c>
      <c r="X3" s="5"/>
      <c r="Y3" s="415">
        <v>455</v>
      </c>
      <c r="Z3" s="415">
        <v>450</v>
      </c>
      <c r="AA3" s="415">
        <v>446</v>
      </c>
      <c r="AB3" s="415">
        <v>432</v>
      </c>
      <c r="AC3" s="5"/>
      <c r="AD3" s="415">
        <v>438</v>
      </c>
      <c r="AE3" s="415">
        <v>442</v>
      </c>
      <c r="AF3" s="493">
        <v>446</v>
      </c>
      <c r="AG3" s="415">
        <v>444</v>
      </c>
      <c r="AI3" s="415">
        <v>444</v>
      </c>
      <c r="AJ3" s="415">
        <v>445</v>
      </c>
      <c r="AK3" s="493">
        <v>443</v>
      </c>
      <c r="AL3" s="415">
        <v>442</v>
      </c>
      <c r="AN3" s="415">
        <v>450</v>
      </c>
      <c r="AO3" s="415">
        <v>452</v>
      </c>
      <c r="AP3" s="493">
        <v>461</v>
      </c>
      <c r="AQ3" s="415">
        <v>467</v>
      </c>
      <c r="AS3" s="415">
        <v>477</v>
      </c>
      <c r="AT3" s="415"/>
      <c r="AU3" s="493"/>
      <c r="AV3" s="415"/>
    </row>
    <row r="4" spans="1:48" ht="22.4" customHeight="1" outlineLevel="2">
      <c r="A4" s="612"/>
      <c r="B4" s="613"/>
      <c r="C4" s="42" t="s">
        <v>10</v>
      </c>
      <c r="D4" s="41" t="s">
        <v>11</v>
      </c>
      <c r="E4" s="411">
        <v>87</v>
      </c>
      <c r="F4" s="411">
        <v>87</v>
      </c>
      <c r="G4" s="411">
        <v>88</v>
      </c>
      <c r="H4" s="411">
        <v>93</v>
      </c>
      <c r="I4" s="416"/>
      <c r="J4" s="413">
        <v>93</v>
      </c>
      <c r="K4" s="411">
        <v>93</v>
      </c>
      <c r="L4" s="414">
        <v>93</v>
      </c>
      <c r="M4" s="415">
        <v>96</v>
      </c>
      <c r="N4" s="416"/>
      <c r="O4" s="413">
        <v>93</v>
      </c>
      <c r="P4" s="411">
        <v>91</v>
      </c>
      <c r="Q4" s="414">
        <v>90</v>
      </c>
      <c r="R4" s="415">
        <v>91</v>
      </c>
      <c r="T4" s="415">
        <v>93</v>
      </c>
      <c r="U4" s="415">
        <v>90</v>
      </c>
      <c r="V4" s="415">
        <v>91</v>
      </c>
      <c r="W4" s="415">
        <v>90</v>
      </c>
      <c r="Y4" s="415">
        <v>89</v>
      </c>
      <c r="Z4" s="415">
        <v>87</v>
      </c>
      <c r="AA4" s="415">
        <v>86</v>
      </c>
      <c r="AB4" s="415">
        <v>86</v>
      </c>
      <c r="AD4" s="415">
        <v>86</v>
      </c>
      <c r="AE4" s="415">
        <v>85</v>
      </c>
      <c r="AF4" s="493">
        <v>85</v>
      </c>
      <c r="AG4" s="415">
        <v>82</v>
      </c>
      <c r="AI4" s="415">
        <v>82</v>
      </c>
      <c r="AJ4" s="415">
        <v>79</v>
      </c>
      <c r="AK4" s="493">
        <v>79</v>
      </c>
      <c r="AL4" s="415">
        <v>77</v>
      </c>
      <c r="AN4" s="415">
        <v>74</v>
      </c>
      <c r="AO4" s="415">
        <v>74</v>
      </c>
      <c r="AP4" s="493">
        <v>72</v>
      </c>
      <c r="AQ4" s="415">
        <v>75</v>
      </c>
      <c r="AS4" s="415">
        <v>78</v>
      </c>
      <c r="AT4" s="415"/>
      <c r="AU4" s="493"/>
      <c r="AV4" s="415"/>
    </row>
    <row r="5" spans="1:48" ht="22.4" customHeight="1" outlineLevel="2">
      <c r="A5" s="612"/>
      <c r="B5" s="613"/>
      <c r="C5" s="42" t="s">
        <v>12</v>
      </c>
      <c r="D5" s="41" t="s">
        <v>13</v>
      </c>
      <c r="E5" s="411">
        <v>73</v>
      </c>
      <c r="F5" s="411">
        <v>74</v>
      </c>
      <c r="G5" s="411">
        <v>76</v>
      </c>
      <c r="H5" s="411">
        <v>76</v>
      </c>
      <c r="I5" s="417"/>
      <c r="J5" s="413">
        <v>76</v>
      </c>
      <c r="K5" s="411">
        <v>75</v>
      </c>
      <c r="L5" s="414">
        <v>75</v>
      </c>
      <c r="M5" s="415">
        <v>80</v>
      </c>
      <c r="N5" s="417"/>
      <c r="O5" s="413">
        <v>79</v>
      </c>
      <c r="P5" s="411">
        <v>78</v>
      </c>
      <c r="Q5" s="414">
        <v>78</v>
      </c>
      <c r="R5" s="415">
        <v>80</v>
      </c>
      <c r="T5" s="415">
        <v>79</v>
      </c>
      <c r="U5" s="415">
        <v>78</v>
      </c>
      <c r="V5" s="415">
        <v>80</v>
      </c>
      <c r="W5" s="415">
        <v>79</v>
      </c>
      <c r="Y5" s="415">
        <v>79</v>
      </c>
      <c r="Z5" s="415">
        <v>78</v>
      </c>
      <c r="AA5" s="415">
        <v>79</v>
      </c>
      <c r="AB5" s="415">
        <v>79</v>
      </c>
      <c r="AD5" s="415">
        <v>79</v>
      </c>
      <c r="AE5" s="415">
        <v>76</v>
      </c>
      <c r="AF5" s="493">
        <v>77</v>
      </c>
      <c r="AG5" s="415">
        <v>77</v>
      </c>
      <c r="AI5" s="415">
        <v>78</v>
      </c>
      <c r="AJ5" s="415">
        <v>73</v>
      </c>
      <c r="AK5" s="493">
        <v>68</v>
      </c>
      <c r="AL5" s="415">
        <v>65</v>
      </c>
      <c r="AN5" s="415">
        <v>63</v>
      </c>
      <c r="AO5" s="415">
        <v>63</v>
      </c>
      <c r="AP5" s="493">
        <v>63</v>
      </c>
      <c r="AQ5" s="415">
        <v>63</v>
      </c>
      <c r="AS5" s="415">
        <v>62</v>
      </c>
      <c r="AT5" s="415"/>
      <c r="AU5" s="493"/>
      <c r="AV5" s="415"/>
    </row>
    <row r="6" spans="1:48" ht="22.4" customHeight="1" outlineLevel="2">
      <c r="A6" s="612"/>
      <c r="B6" s="613"/>
      <c r="C6" s="42" t="s">
        <v>14</v>
      </c>
      <c r="D6" s="41" t="s">
        <v>14</v>
      </c>
      <c r="E6" s="411">
        <v>46</v>
      </c>
      <c r="F6" s="411">
        <v>46</v>
      </c>
      <c r="G6" s="411">
        <v>49</v>
      </c>
      <c r="H6" s="411">
        <v>49</v>
      </c>
      <c r="I6" s="412"/>
      <c r="J6" s="413">
        <v>48</v>
      </c>
      <c r="K6" s="411">
        <v>48</v>
      </c>
      <c r="L6" s="414">
        <v>49</v>
      </c>
      <c r="M6" s="415">
        <v>50</v>
      </c>
      <c r="N6" s="412"/>
      <c r="O6" s="413">
        <v>49</v>
      </c>
      <c r="P6" s="411">
        <v>49</v>
      </c>
      <c r="Q6" s="414">
        <v>52</v>
      </c>
      <c r="R6" s="415">
        <v>51</v>
      </c>
      <c r="T6" s="415">
        <v>49</v>
      </c>
      <c r="U6" s="415">
        <v>48</v>
      </c>
      <c r="V6" s="415">
        <v>56</v>
      </c>
      <c r="W6" s="415">
        <v>51</v>
      </c>
      <c r="Y6" s="415">
        <v>47</v>
      </c>
      <c r="Z6" s="415">
        <v>31</v>
      </c>
      <c r="AA6" s="415">
        <v>9</v>
      </c>
      <c r="AB6" s="415" t="s">
        <v>28</v>
      </c>
      <c r="AD6" s="415" t="s">
        <v>28</v>
      </c>
      <c r="AE6" s="468" t="s">
        <v>28</v>
      </c>
      <c r="AF6" s="493">
        <v>0</v>
      </c>
      <c r="AG6" s="415">
        <v>0</v>
      </c>
      <c r="AI6" s="415">
        <v>0</v>
      </c>
      <c r="AJ6" s="468">
        <v>0</v>
      </c>
      <c r="AK6" s="493">
        <v>0</v>
      </c>
      <c r="AL6" s="434">
        <v>0</v>
      </c>
      <c r="AN6" s="415">
        <v>0</v>
      </c>
      <c r="AO6" s="468">
        <v>0</v>
      </c>
      <c r="AP6" s="493">
        <v>0</v>
      </c>
      <c r="AQ6" s="434"/>
      <c r="AS6" s="415"/>
      <c r="AT6" s="468"/>
      <c r="AU6" s="493"/>
      <c r="AV6" s="434"/>
    </row>
    <row r="7" spans="1:48" ht="22.4" customHeight="1" outlineLevel="2">
      <c r="A7" s="612"/>
      <c r="B7" s="613"/>
      <c r="C7" s="42" t="s">
        <v>15</v>
      </c>
      <c r="D7" s="41" t="s">
        <v>16</v>
      </c>
      <c r="E7" s="411">
        <v>51</v>
      </c>
      <c r="F7" s="411">
        <v>50</v>
      </c>
      <c r="G7" s="411">
        <v>51</v>
      </c>
      <c r="H7" s="411">
        <v>51</v>
      </c>
      <c r="I7" s="412"/>
      <c r="J7" s="413">
        <v>52</v>
      </c>
      <c r="K7" s="411">
        <v>53</v>
      </c>
      <c r="L7" s="414">
        <v>53</v>
      </c>
      <c r="M7" s="415">
        <v>53</v>
      </c>
      <c r="N7" s="412"/>
      <c r="O7" s="413">
        <v>52</v>
      </c>
      <c r="P7" s="411">
        <v>53</v>
      </c>
      <c r="Q7" s="414">
        <v>53</v>
      </c>
      <c r="R7" s="415">
        <v>55</v>
      </c>
      <c r="T7" s="415">
        <v>52</v>
      </c>
      <c r="U7" s="415">
        <v>53</v>
      </c>
      <c r="V7" s="415">
        <v>55</v>
      </c>
      <c r="W7" s="415">
        <v>56</v>
      </c>
      <c r="Y7" s="415">
        <v>57</v>
      </c>
      <c r="Z7" s="415">
        <v>55</v>
      </c>
      <c r="AA7" s="415">
        <v>55</v>
      </c>
      <c r="AB7" s="415">
        <v>53</v>
      </c>
      <c r="AD7" s="415">
        <v>52</v>
      </c>
      <c r="AE7" s="415">
        <v>52</v>
      </c>
      <c r="AF7" s="493">
        <v>51</v>
      </c>
      <c r="AG7" s="415">
        <v>50</v>
      </c>
      <c r="AI7" s="415">
        <v>49</v>
      </c>
      <c r="AJ7" s="415">
        <v>47</v>
      </c>
      <c r="AK7" s="493">
        <v>47</v>
      </c>
      <c r="AL7" s="415">
        <v>46</v>
      </c>
      <c r="AN7" s="415">
        <v>46</v>
      </c>
      <c r="AO7" s="415">
        <v>46</v>
      </c>
      <c r="AP7" s="493">
        <v>46</v>
      </c>
      <c r="AQ7" s="415">
        <v>47</v>
      </c>
      <c r="AS7" s="415">
        <v>47</v>
      </c>
      <c r="AT7" s="415"/>
      <c r="AU7" s="493"/>
      <c r="AV7" s="415"/>
    </row>
    <row r="8" spans="1:48" ht="22.4" customHeight="1" outlineLevel="2">
      <c r="A8" s="612"/>
      <c r="B8" s="613"/>
      <c r="C8" s="42" t="s">
        <v>17</v>
      </c>
      <c r="D8" s="41" t="s">
        <v>18</v>
      </c>
      <c r="E8" s="411">
        <v>24</v>
      </c>
      <c r="F8" s="411">
        <v>24</v>
      </c>
      <c r="G8" s="411">
        <v>24</v>
      </c>
      <c r="H8" s="411">
        <v>25</v>
      </c>
      <c r="I8" s="416"/>
      <c r="J8" s="413">
        <v>25</v>
      </c>
      <c r="K8" s="411">
        <v>27</v>
      </c>
      <c r="L8" s="414">
        <v>28</v>
      </c>
      <c r="M8" s="415">
        <v>29</v>
      </c>
      <c r="N8" s="416"/>
      <c r="O8" s="413">
        <v>29</v>
      </c>
      <c r="P8" s="411">
        <v>30</v>
      </c>
      <c r="Q8" s="414">
        <v>32</v>
      </c>
      <c r="R8" s="415">
        <v>31</v>
      </c>
      <c r="T8" s="415">
        <v>29</v>
      </c>
      <c r="U8" s="415">
        <v>30</v>
      </c>
      <c r="V8" s="415">
        <v>32</v>
      </c>
      <c r="W8" s="415">
        <v>31</v>
      </c>
      <c r="Y8" s="415">
        <v>29</v>
      </c>
      <c r="Z8" s="415">
        <v>29</v>
      </c>
      <c r="AA8" s="415">
        <v>30</v>
      </c>
      <c r="AB8" s="415">
        <v>29</v>
      </c>
      <c r="AD8" s="415">
        <v>29</v>
      </c>
      <c r="AE8" s="415">
        <v>29</v>
      </c>
      <c r="AF8" s="493">
        <v>28</v>
      </c>
      <c r="AG8" s="415">
        <v>28</v>
      </c>
      <c r="AI8" s="415">
        <v>28</v>
      </c>
      <c r="AJ8" s="415">
        <v>26</v>
      </c>
      <c r="AK8" s="493">
        <v>25</v>
      </c>
      <c r="AL8" s="415">
        <f>24</f>
        <v>24</v>
      </c>
      <c r="AN8" s="415">
        <v>24</v>
      </c>
      <c r="AO8" s="415">
        <v>24</v>
      </c>
      <c r="AP8" s="493">
        <v>24</v>
      </c>
      <c r="AQ8" s="415">
        <v>24</v>
      </c>
      <c r="AS8" s="415">
        <v>24</v>
      </c>
      <c r="AT8" s="415"/>
      <c r="AU8" s="493"/>
      <c r="AV8" s="415"/>
    </row>
    <row r="9" spans="1:48" ht="22.4" customHeight="1" outlineLevel="2">
      <c r="A9" s="612"/>
      <c r="B9" s="613"/>
      <c r="C9" s="42" t="s">
        <v>19</v>
      </c>
      <c r="D9" s="41" t="s">
        <v>20</v>
      </c>
      <c r="E9" s="411">
        <v>22</v>
      </c>
      <c r="F9" s="411">
        <v>24</v>
      </c>
      <c r="G9" s="411">
        <v>27</v>
      </c>
      <c r="H9" s="411">
        <v>35</v>
      </c>
      <c r="I9" s="412"/>
      <c r="J9" s="413">
        <v>37</v>
      </c>
      <c r="K9" s="411">
        <v>38</v>
      </c>
      <c r="L9" s="414">
        <v>39</v>
      </c>
      <c r="M9" s="415">
        <v>41</v>
      </c>
      <c r="N9" s="412"/>
      <c r="O9" s="413">
        <v>42</v>
      </c>
      <c r="P9" s="411">
        <v>42</v>
      </c>
      <c r="Q9" s="414">
        <v>41</v>
      </c>
      <c r="R9" s="415">
        <v>44</v>
      </c>
      <c r="T9" s="415">
        <v>42</v>
      </c>
      <c r="U9" s="415">
        <v>41</v>
      </c>
      <c r="V9" s="415">
        <v>41</v>
      </c>
      <c r="W9" s="415">
        <v>41</v>
      </c>
      <c r="Y9" s="415">
        <v>41</v>
      </c>
      <c r="Z9" s="415">
        <v>40</v>
      </c>
      <c r="AA9" s="415">
        <v>40</v>
      </c>
      <c r="AB9" s="415">
        <v>42</v>
      </c>
      <c r="AD9" s="415" t="s">
        <v>28</v>
      </c>
      <c r="AE9" s="468" t="s">
        <v>28</v>
      </c>
      <c r="AF9" s="493" t="s">
        <v>28</v>
      </c>
      <c r="AG9" s="415">
        <v>0</v>
      </c>
      <c r="AI9" s="415">
        <v>0</v>
      </c>
      <c r="AJ9" s="468">
        <v>0</v>
      </c>
      <c r="AK9" s="493">
        <v>0</v>
      </c>
      <c r="AL9" s="434">
        <v>0</v>
      </c>
      <c r="AN9" s="415">
        <v>0</v>
      </c>
      <c r="AO9" s="468">
        <v>0</v>
      </c>
      <c r="AP9" s="493">
        <v>0</v>
      </c>
      <c r="AQ9" s="434"/>
      <c r="AS9" s="415"/>
      <c r="AT9" s="468"/>
      <c r="AU9" s="493"/>
      <c r="AV9" s="434"/>
    </row>
    <row r="10" spans="1:48" ht="22.4" customHeight="1" outlineLevel="2">
      <c r="A10" s="612"/>
      <c r="B10" s="613"/>
      <c r="C10" s="42" t="s">
        <v>21</v>
      </c>
      <c r="D10" s="41" t="s">
        <v>22</v>
      </c>
      <c r="E10" s="411">
        <v>13</v>
      </c>
      <c r="F10" s="411">
        <v>13</v>
      </c>
      <c r="G10" s="411">
        <v>14</v>
      </c>
      <c r="H10" s="411">
        <v>14</v>
      </c>
      <c r="I10" s="417"/>
      <c r="J10" s="413">
        <v>14</v>
      </c>
      <c r="K10" s="411">
        <v>15</v>
      </c>
      <c r="L10" s="414">
        <v>15</v>
      </c>
      <c r="M10" s="415">
        <v>18</v>
      </c>
      <c r="N10" s="417"/>
      <c r="O10" s="413">
        <v>18</v>
      </c>
      <c r="P10" s="411">
        <v>18</v>
      </c>
      <c r="Q10" s="414">
        <v>19</v>
      </c>
      <c r="R10" s="415">
        <v>20</v>
      </c>
      <c r="T10" s="415">
        <v>18</v>
      </c>
      <c r="U10" s="415">
        <v>18</v>
      </c>
      <c r="V10" s="415">
        <v>20</v>
      </c>
      <c r="W10" s="415">
        <v>20</v>
      </c>
      <c r="Y10" s="415">
        <v>18</v>
      </c>
      <c r="Z10" s="415">
        <v>18</v>
      </c>
      <c r="AA10" s="415">
        <v>17</v>
      </c>
      <c r="AB10" s="415">
        <v>17</v>
      </c>
      <c r="AD10" s="415">
        <v>17</v>
      </c>
      <c r="AE10" s="415">
        <v>17</v>
      </c>
      <c r="AF10" s="493">
        <v>17</v>
      </c>
      <c r="AG10" s="415">
        <v>17</v>
      </c>
      <c r="AI10" s="415">
        <v>16</v>
      </c>
      <c r="AJ10" s="415">
        <v>16</v>
      </c>
      <c r="AK10" s="493">
        <v>15</v>
      </c>
      <c r="AL10" s="415">
        <v>14</v>
      </c>
      <c r="AN10" s="415">
        <v>14</v>
      </c>
      <c r="AO10" s="415">
        <v>14</v>
      </c>
      <c r="AP10" s="493">
        <v>14</v>
      </c>
      <c r="AQ10" s="415">
        <v>14</v>
      </c>
      <c r="AS10" s="415">
        <v>14</v>
      </c>
      <c r="AT10" s="415"/>
      <c r="AU10" s="493"/>
      <c r="AV10" s="415"/>
    </row>
    <row r="11" spans="1:48" ht="22.4" customHeight="1" outlineLevel="2">
      <c r="A11" s="612"/>
      <c r="B11" s="613"/>
      <c r="C11" s="42" t="s">
        <v>23</v>
      </c>
      <c r="D11" s="41" t="s">
        <v>24</v>
      </c>
      <c r="E11" s="411">
        <v>10</v>
      </c>
      <c r="F11" s="411">
        <v>10</v>
      </c>
      <c r="G11" s="411">
        <v>10</v>
      </c>
      <c r="H11" s="411">
        <v>11</v>
      </c>
      <c r="I11" s="412"/>
      <c r="J11" s="413">
        <v>12</v>
      </c>
      <c r="K11" s="411">
        <v>14</v>
      </c>
      <c r="L11" s="414">
        <v>15</v>
      </c>
      <c r="M11" s="415">
        <v>17</v>
      </c>
      <c r="N11" s="412"/>
      <c r="O11" s="413">
        <v>17</v>
      </c>
      <c r="P11" s="411">
        <v>17</v>
      </c>
      <c r="Q11" s="414">
        <v>17</v>
      </c>
      <c r="R11" s="415">
        <v>18</v>
      </c>
      <c r="T11" s="415">
        <v>17</v>
      </c>
      <c r="U11" s="415">
        <v>17</v>
      </c>
      <c r="V11" s="415">
        <v>17</v>
      </c>
      <c r="W11" s="415">
        <v>18</v>
      </c>
      <c r="Y11" s="415">
        <v>17</v>
      </c>
      <c r="Z11" s="415">
        <v>17</v>
      </c>
      <c r="AA11" s="415">
        <v>17</v>
      </c>
      <c r="AB11" s="415">
        <v>17</v>
      </c>
      <c r="AD11" s="415">
        <v>17</v>
      </c>
      <c r="AE11" s="415">
        <v>17</v>
      </c>
      <c r="AF11" s="493">
        <v>18</v>
      </c>
      <c r="AG11" s="415">
        <v>20</v>
      </c>
      <c r="AI11" s="415">
        <v>20</v>
      </c>
      <c r="AJ11" s="415">
        <v>20</v>
      </c>
      <c r="AK11" s="493">
        <v>21</v>
      </c>
      <c r="AL11" s="415">
        <v>21</v>
      </c>
      <c r="AN11" s="415">
        <v>19</v>
      </c>
      <c r="AO11" s="415">
        <v>19</v>
      </c>
      <c r="AP11" s="493">
        <v>19</v>
      </c>
      <c r="AQ11" s="415">
        <v>19</v>
      </c>
      <c r="AS11" s="415">
        <v>19</v>
      </c>
      <c r="AT11" s="415"/>
      <c r="AU11" s="493"/>
      <c r="AV11" s="415"/>
    </row>
    <row r="12" spans="1:48" ht="22.4" customHeight="1" outlineLevel="2">
      <c r="A12" s="612"/>
      <c r="B12" s="613"/>
      <c r="C12" s="42" t="s">
        <v>25</v>
      </c>
      <c r="D12" s="41" t="s">
        <v>25</v>
      </c>
      <c r="E12" s="411">
        <v>6</v>
      </c>
      <c r="F12" s="411">
        <v>9</v>
      </c>
      <c r="G12" s="411">
        <v>10</v>
      </c>
      <c r="H12" s="411">
        <v>11</v>
      </c>
      <c r="I12" s="412"/>
      <c r="J12" s="413">
        <v>11</v>
      </c>
      <c r="K12" s="411">
        <v>12</v>
      </c>
      <c r="L12" s="414">
        <v>14</v>
      </c>
      <c r="M12" s="415">
        <v>14</v>
      </c>
      <c r="N12" s="412"/>
      <c r="O12" s="413">
        <v>14</v>
      </c>
      <c r="P12" s="411">
        <v>14</v>
      </c>
      <c r="Q12" s="414">
        <v>14</v>
      </c>
      <c r="R12" s="415">
        <v>15</v>
      </c>
      <c r="T12" s="415">
        <v>14</v>
      </c>
      <c r="U12" s="415">
        <v>14</v>
      </c>
      <c r="V12" s="415">
        <v>15</v>
      </c>
      <c r="W12" s="415">
        <v>14</v>
      </c>
      <c r="Y12" s="415">
        <v>14</v>
      </c>
      <c r="Z12" s="415">
        <v>14</v>
      </c>
      <c r="AA12" s="415">
        <v>14</v>
      </c>
      <c r="AB12" s="415">
        <v>14</v>
      </c>
      <c r="AD12" s="415">
        <v>14</v>
      </c>
      <c r="AE12" s="415">
        <v>14</v>
      </c>
      <c r="AF12" s="493">
        <v>14</v>
      </c>
      <c r="AG12" s="415">
        <v>14</v>
      </c>
      <c r="AI12" s="415">
        <v>13</v>
      </c>
      <c r="AJ12" s="415">
        <v>11</v>
      </c>
      <c r="AK12" s="493">
        <v>9</v>
      </c>
      <c r="AL12" s="415">
        <v>8</v>
      </c>
      <c r="AN12" s="415">
        <v>8</v>
      </c>
      <c r="AO12" s="415">
        <v>8</v>
      </c>
      <c r="AP12" s="493">
        <v>8</v>
      </c>
      <c r="AQ12" s="415">
        <v>8</v>
      </c>
      <c r="AS12" s="415">
        <v>8</v>
      </c>
      <c r="AT12" s="415"/>
      <c r="AU12" s="493"/>
      <c r="AV12" s="415"/>
    </row>
    <row r="13" spans="1:48" ht="22.4" customHeight="1" outlineLevel="2">
      <c r="A13" s="612"/>
      <c r="B13" s="613"/>
      <c r="C13" s="42" t="s">
        <v>26</v>
      </c>
      <c r="D13" s="41" t="s">
        <v>27</v>
      </c>
      <c r="E13" s="411" t="s">
        <v>28</v>
      </c>
      <c r="F13" s="411">
        <v>55</v>
      </c>
      <c r="G13" s="411">
        <v>57</v>
      </c>
      <c r="H13" s="411">
        <v>62</v>
      </c>
      <c r="I13" s="412"/>
      <c r="J13" s="413">
        <v>63</v>
      </c>
      <c r="K13" s="411">
        <v>64</v>
      </c>
      <c r="L13" s="414">
        <v>65</v>
      </c>
      <c r="M13" s="415">
        <v>71</v>
      </c>
      <c r="N13" s="412"/>
      <c r="O13" s="413">
        <v>71</v>
      </c>
      <c r="P13" s="411">
        <v>72</v>
      </c>
      <c r="Q13" s="414">
        <v>77</v>
      </c>
      <c r="R13" s="415">
        <v>79</v>
      </c>
      <c r="T13" s="415">
        <v>71</v>
      </c>
      <c r="U13" s="415">
        <v>73</v>
      </c>
      <c r="V13" s="415">
        <v>78</v>
      </c>
      <c r="W13" s="415">
        <v>78</v>
      </c>
      <c r="Y13" s="415">
        <v>77</v>
      </c>
      <c r="Z13" s="415">
        <v>77</v>
      </c>
      <c r="AA13" s="415">
        <v>78</v>
      </c>
      <c r="AB13" s="415">
        <v>80</v>
      </c>
      <c r="AD13" s="415">
        <v>79</v>
      </c>
      <c r="AE13" s="415">
        <v>76</v>
      </c>
      <c r="AF13" s="493">
        <v>77</v>
      </c>
      <c r="AG13" s="415">
        <v>76</v>
      </c>
      <c r="AI13" s="415">
        <v>76</v>
      </c>
      <c r="AJ13" s="415">
        <v>73</v>
      </c>
      <c r="AK13" s="493">
        <f>74</f>
        <v>74</v>
      </c>
      <c r="AL13" s="415">
        <v>73</v>
      </c>
      <c r="AN13" s="415">
        <v>73</v>
      </c>
      <c r="AO13" s="415">
        <v>71</v>
      </c>
      <c r="AP13" s="493">
        <v>73</v>
      </c>
      <c r="AQ13" s="415">
        <v>73</v>
      </c>
      <c r="AS13" s="415">
        <v>75</v>
      </c>
      <c r="AT13" s="415"/>
      <c r="AU13" s="493"/>
      <c r="AV13" s="415"/>
    </row>
    <row r="14" spans="1:48" ht="22.4" customHeight="1" outlineLevel="2">
      <c r="A14" s="612"/>
      <c r="B14" s="613"/>
      <c r="C14" s="42" t="s">
        <v>31</v>
      </c>
      <c r="D14" s="41" t="s">
        <v>336</v>
      </c>
      <c r="E14" s="411"/>
      <c r="F14" s="411"/>
      <c r="G14" s="411"/>
      <c r="H14" s="411"/>
      <c r="I14" s="412"/>
      <c r="J14" s="413"/>
      <c r="K14" s="411"/>
      <c r="L14" s="414"/>
      <c r="M14" s="415"/>
      <c r="N14" s="412"/>
      <c r="O14" s="413"/>
      <c r="P14" s="411"/>
      <c r="Q14" s="414"/>
      <c r="R14" s="415"/>
      <c r="T14" s="415"/>
      <c r="U14" s="415"/>
      <c r="V14" s="415"/>
      <c r="W14" s="415"/>
      <c r="Y14" s="415"/>
      <c r="Z14" s="415"/>
      <c r="AA14" s="415"/>
      <c r="AB14" s="415"/>
      <c r="AD14" s="468" t="s">
        <v>28</v>
      </c>
      <c r="AE14" s="415">
        <v>6</v>
      </c>
      <c r="AF14" s="493">
        <v>6</v>
      </c>
      <c r="AG14" s="415">
        <v>6</v>
      </c>
      <c r="AI14" s="468">
        <v>6</v>
      </c>
      <c r="AJ14" s="415">
        <v>6</v>
      </c>
      <c r="AK14" s="493">
        <v>6</v>
      </c>
      <c r="AL14" s="415">
        <v>6</v>
      </c>
      <c r="AN14" s="468">
        <v>6</v>
      </c>
      <c r="AO14" s="415">
        <v>5</v>
      </c>
      <c r="AP14" s="493">
        <v>5</v>
      </c>
      <c r="AQ14" s="415">
        <v>5</v>
      </c>
      <c r="AS14" s="468">
        <v>5</v>
      </c>
      <c r="AT14" s="415"/>
      <c r="AU14" s="493"/>
      <c r="AV14" s="415"/>
    </row>
    <row r="15" spans="1:48" ht="22.4" customHeight="1" outlineLevel="2">
      <c r="A15" s="612"/>
      <c r="B15" s="613"/>
      <c r="C15" s="42" t="s">
        <v>33</v>
      </c>
      <c r="D15" s="41" t="s">
        <v>337</v>
      </c>
      <c r="E15" s="411"/>
      <c r="F15" s="411"/>
      <c r="G15" s="411"/>
      <c r="H15" s="411"/>
      <c r="I15" s="412"/>
      <c r="J15" s="413"/>
      <c r="K15" s="411"/>
      <c r="L15" s="414"/>
      <c r="M15" s="415"/>
      <c r="N15" s="412"/>
      <c r="O15" s="413"/>
      <c r="P15" s="411"/>
      <c r="Q15" s="414"/>
      <c r="R15" s="415"/>
      <c r="T15" s="415"/>
      <c r="U15" s="415"/>
      <c r="V15" s="415"/>
      <c r="W15" s="415"/>
      <c r="Y15" s="415"/>
      <c r="Z15" s="415"/>
      <c r="AA15" s="415"/>
      <c r="AB15" s="415"/>
      <c r="AD15" s="468" t="s">
        <v>28</v>
      </c>
      <c r="AE15" s="415">
        <v>2</v>
      </c>
      <c r="AF15" s="493">
        <v>2</v>
      </c>
      <c r="AG15" s="415">
        <v>2</v>
      </c>
      <c r="AI15" s="468">
        <v>2</v>
      </c>
      <c r="AJ15" s="415">
        <v>2</v>
      </c>
      <c r="AK15" s="493">
        <v>2</v>
      </c>
      <c r="AL15" s="415">
        <v>2</v>
      </c>
      <c r="AN15" s="468">
        <v>4</v>
      </c>
      <c r="AO15" s="415">
        <v>4</v>
      </c>
      <c r="AP15" s="493">
        <v>4</v>
      </c>
      <c r="AQ15" s="415">
        <v>4</v>
      </c>
      <c r="AS15" s="468">
        <v>4</v>
      </c>
      <c r="AT15" s="415"/>
      <c r="AU15" s="493"/>
      <c r="AV15" s="415"/>
    </row>
    <row r="16" spans="1:48" ht="22.4" customHeight="1" outlineLevel="2">
      <c r="A16" s="612"/>
      <c r="B16" s="613"/>
      <c r="C16" s="42" t="s">
        <v>35</v>
      </c>
      <c r="D16" s="41" t="s">
        <v>338</v>
      </c>
      <c r="E16" s="411"/>
      <c r="F16" s="411"/>
      <c r="G16" s="411"/>
      <c r="H16" s="411"/>
      <c r="I16" s="412"/>
      <c r="J16" s="413"/>
      <c r="K16" s="411"/>
      <c r="L16" s="414"/>
      <c r="M16" s="415"/>
      <c r="N16" s="412"/>
      <c r="O16" s="413"/>
      <c r="P16" s="411"/>
      <c r="Q16" s="414"/>
      <c r="R16" s="415"/>
      <c r="T16" s="415"/>
      <c r="U16" s="415"/>
      <c r="V16" s="415"/>
      <c r="W16" s="415"/>
      <c r="Y16" s="415"/>
      <c r="Z16" s="415"/>
      <c r="AA16" s="415"/>
      <c r="AB16" s="415"/>
      <c r="AD16" s="468" t="s">
        <v>28</v>
      </c>
      <c r="AE16" s="415">
        <v>3</v>
      </c>
      <c r="AF16" s="493">
        <v>3</v>
      </c>
      <c r="AG16" s="415">
        <v>3</v>
      </c>
      <c r="AI16" s="468">
        <v>3</v>
      </c>
      <c r="AJ16" s="415">
        <v>3</v>
      </c>
      <c r="AK16" s="493">
        <v>3</v>
      </c>
      <c r="AL16" s="415">
        <v>3</v>
      </c>
      <c r="AN16" s="468">
        <v>3</v>
      </c>
      <c r="AO16" s="415">
        <v>3</v>
      </c>
      <c r="AP16" s="493">
        <v>4</v>
      </c>
      <c r="AQ16" s="415">
        <v>4</v>
      </c>
      <c r="AS16" s="468">
        <v>4</v>
      </c>
      <c r="AT16" s="415"/>
      <c r="AU16" s="493"/>
      <c r="AV16" s="415"/>
    </row>
    <row r="17" spans="1:48" ht="22.4" customHeight="1" outlineLevel="2">
      <c r="A17" s="612"/>
      <c r="B17" s="611"/>
      <c r="C17" s="472" t="s">
        <v>29</v>
      </c>
      <c r="D17" s="43" t="s">
        <v>339</v>
      </c>
      <c r="E17" s="418"/>
      <c r="F17" s="418"/>
      <c r="G17" s="418"/>
      <c r="H17" s="419"/>
      <c r="I17" s="412"/>
      <c r="J17" s="420"/>
      <c r="K17" s="418"/>
      <c r="L17" s="421"/>
      <c r="M17" s="422"/>
      <c r="N17" s="412"/>
      <c r="O17" s="420"/>
      <c r="P17" s="418"/>
      <c r="Q17" s="421"/>
      <c r="R17" s="422"/>
      <c r="T17" s="422"/>
      <c r="U17" s="422"/>
      <c r="V17" s="422"/>
      <c r="W17" s="422"/>
      <c r="Y17" s="422"/>
      <c r="Z17" s="422"/>
      <c r="AA17" s="422"/>
      <c r="AB17" s="422"/>
      <c r="AD17" s="469"/>
      <c r="AE17" s="422"/>
      <c r="AF17" s="494"/>
      <c r="AG17" s="422">
        <v>0</v>
      </c>
      <c r="AI17" s="469">
        <v>17</v>
      </c>
      <c r="AJ17" s="422">
        <v>15</v>
      </c>
      <c r="AK17" s="494">
        <v>15</v>
      </c>
      <c r="AL17" s="422">
        <v>15</v>
      </c>
      <c r="AN17" s="469">
        <v>15</v>
      </c>
      <c r="AO17" s="422">
        <v>14</v>
      </c>
      <c r="AP17" s="494">
        <v>14</v>
      </c>
      <c r="AQ17" s="422">
        <v>13</v>
      </c>
      <c r="AS17" s="469">
        <v>14</v>
      </c>
      <c r="AT17" s="422"/>
      <c r="AU17" s="494"/>
      <c r="AV17" s="422"/>
    </row>
    <row r="18" spans="1:48" ht="15.9" outlineLevel="1">
      <c r="A18" s="612"/>
      <c r="C18" s="423" t="s">
        <v>273</v>
      </c>
      <c r="D18" s="424" t="s">
        <v>274</v>
      </c>
      <c r="E18" s="425">
        <f>SUM(E3:E13)</f>
        <v>782</v>
      </c>
      <c r="F18" s="425">
        <f>SUM(F3:F13)</f>
        <v>854</v>
      </c>
      <c r="G18" s="425">
        <f>SUM(G3:G13)</f>
        <v>871</v>
      </c>
      <c r="H18" s="425">
        <f>SUM(H3:H13)</f>
        <v>893</v>
      </c>
      <c r="I18" s="426"/>
      <c r="J18" s="427">
        <f>SUM(J3:J13)</f>
        <v>898</v>
      </c>
      <c r="K18" s="427">
        <f>SUM(K3:K13)</f>
        <v>911</v>
      </c>
      <c r="L18" s="427">
        <f>SUM(L3:L13)</f>
        <v>918</v>
      </c>
      <c r="M18" s="427">
        <f>SUM(M3:M13)</f>
        <v>942</v>
      </c>
      <c r="N18" s="426"/>
      <c r="O18" s="427">
        <f>SUM(O3:O13)</f>
        <v>934</v>
      </c>
      <c r="P18" s="427">
        <f>SUM(P3:P13)</f>
        <v>933</v>
      </c>
      <c r="Q18" s="427">
        <f>SUM(Q3:Q13)</f>
        <v>945</v>
      </c>
      <c r="R18" s="427">
        <f>SUM(R3:R13)</f>
        <v>954</v>
      </c>
      <c r="T18" s="427">
        <f>SUM(T3:T13)</f>
        <v>933</v>
      </c>
      <c r="U18" s="427">
        <f>SUM(U3:U13)</f>
        <v>932</v>
      </c>
      <c r="V18" s="427">
        <f>SUM(V3:V13)</f>
        <v>955</v>
      </c>
      <c r="W18" s="427">
        <f>SUM(W3:W13)</f>
        <v>940</v>
      </c>
      <c r="Y18" s="427">
        <v>923</v>
      </c>
      <c r="Z18" s="427">
        <f>SUM(Z3:Z13)</f>
        <v>896</v>
      </c>
      <c r="AA18" s="427">
        <f>SUM(AA3:AA13)</f>
        <v>871</v>
      </c>
      <c r="AB18" s="427">
        <f>SUM(AB3:AB13)</f>
        <v>849</v>
      </c>
      <c r="AD18" s="427">
        <f>SUM(AD3:AD13)</f>
        <v>811</v>
      </c>
      <c r="AE18" s="427">
        <v>819</v>
      </c>
      <c r="AF18" s="427">
        <f>SUM(AF3:AF16)</f>
        <v>824</v>
      </c>
      <c r="AG18" s="427">
        <v>819</v>
      </c>
      <c r="AI18" s="427">
        <f>SUM(AI3:AI17)</f>
        <v>834</v>
      </c>
      <c r="AJ18" s="427">
        <f>SUM(AJ3:AJ17)</f>
        <v>816</v>
      </c>
      <c r="AK18" s="427">
        <f>SUM(AK3:AK17)</f>
        <v>807</v>
      </c>
      <c r="AL18" s="427">
        <f>SUM(AL3:AL17)</f>
        <v>796</v>
      </c>
      <c r="AN18" s="427">
        <f>SUM(AN3:AN17)</f>
        <v>799</v>
      </c>
      <c r="AO18" s="427">
        <f>SUM(AO3:AO17)</f>
        <v>797</v>
      </c>
      <c r="AP18" s="427">
        <f>SUM(AP3:AP17)</f>
        <v>807</v>
      </c>
      <c r="AQ18" s="427">
        <v>816</v>
      </c>
      <c r="AS18" s="427">
        <f>SUM(AS3:AS17)</f>
        <v>831</v>
      </c>
      <c r="AT18" s="427">
        <f>SUM(AT3:AT17)</f>
        <v>0</v>
      </c>
      <c r="AU18" s="427">
        <f>SUM(AU3:AU17)</f>
        <v>0</v>
      </c>
      <c r="AV18" s="427"/>
    </row>
    <row r="19" spans="1:48" ht="22.4" customHeight="1" outlineLevel="2">
      <c r="A19" s="612"/>
      <c r="B19" s="610"/>
      <c r="C19" s="42" t="s">
        <v>29</v>
      </c>
      <c r="D19" s="41" t="s">
        <v>30</v>
      </c>
      <c r="E19" s="428">
        <v>6</v>
      </c>
      <c r="F19" s="428">
        <v>7</v>
      </c>
      <c r="G19" s="428">
        <v>8</v>
      </c>
      <c r="H19" s="428">
        <v>11</v>
      </c>
      <c r="I19" s="412"/>
      <c r="J19" s="428">
        <v>11</v>
      </c>
      <c r="K19" s="428">
        <v>12</v>
      </c>
      <c r="L19" s="428">
        <v>15</v>
      </c>
      <c r="M19" s="429">
        <v>17</v>
      </c>
      <c r="N19" s="430"/>
      <c r="O19" s="428">
        <v>17</v>
      </c>
      <c r="P19" s="428">
        <v>19</v>
      </c>
      <c r="Q19" s="428">
        <v>19</v>
      </c>
      <c r="R19" s="429">
        <v>19</v>
      </c>
      <c r="T19" s="429">
        <v>17</v>
      </c>
      <c r="U19" s="429">
        <v>19</v>
      </c>
      <c r="V19" s="429">
        <v>19</v>
      </c>
      <c r="W19" s="429">
        <v>18</v>
      </c>
      <c r="Y19" s="431">
        <v>18</v>
      </c>
      <c r="Z19" s="431">
        <v>18</v>
      </c>
      <c r="AA19" s="431">
        <v>18</v>
      </c>
      <c r="AB19" s="429">
        <v>17</v>
      </c>
      <c r="AD19" s="431">
        <v>16</v>
      </c>
      <c r="AE19" s="470">
        <v>16</v>
      </c>
      <c r="AF19" s="470">
        <v>17</v>
      </c>
      <c r="AG19" s="429">
        <v>16</v>
      </c>
      <c r="AI19" s="470">
        <v>0</v>
      </c>
      <c r="AJ19" s="470">
        <v>0</v>
      </c>
      <c r="AK19" s="470">
        <v>0</v>
      </c>
      <c r="AL19" s="429">
        <v>0</v>
      </c>
      <c r="AN19" s="470"/>
      <c r="AO19" s="470"/>
      <c r="AP19" s="470"/>
      <c r="AQ19" s="429"/>
      <c r="AS19" s="470"/>
      <c r="AT19" s="470"/>
      <c r="AU19" s="470"/>
      <c r="AV19" s="429"/>
    </row>
    <row r="20" spans="1:48" ht="22.4" customHeight="1" outlineLevel="2">
      <c r="A20" s="612"/>
      <c r="B20" s="613"/>
      <c r="C20" s="42" t="s">
        <v>31</v>
      </c>
      <c r="D20" s="41" t="s">
        <v>32</v>
      </c>
      <c r="E20" s="432">
        <v>7</v>
      </c>
      <c r="F20" s="432">
        <v>7</v>
      </c>
      <c r="G20" s="432">
        <v>7</v>
      </c>
      <c r="H20" s="432">
        <v>7</v>
      </c>
      <c r="I20" s="433"/>
      <c r="J20" s="432">
        <v>7</v>
      </c>
      <c r="K20" s="432">
        <v>7</v>
      </c>
      <c r="L20" s="432">
        <v>7</v>
      </c>
      <c r="M20" s="434">
        <v>7</v>
      </c>
      <c r="N20" s="433"/>
      <c r="O20" s="432">
        <v>7</v>
      </c>
      <c r="P20" s="432">
        <v>7</v>
      </c>
      <c r="Q20" s="432">
        <v>7</v>
      </c>
      <c r="R20" s="434">
        <v>7</v>
      </c>
      <c r="T20" s="434">
        <v>7</v>
      </c>
      <c r="U20" s="434">
        <v>7</v>
      </c>
      <c r="V20" s="434">
        <v>7</v>
      </c>
      <c r="W20" s="434">
        <v>7</v>
      </c>
      <c r="Y20" s="415">
        <v>7</v>
      </c>
      <c r="Z20" s="415">
        <v>7</v>
      </c>
      <c r="AA20" s="415">
        <v>7</v>
      </c>
      <c r="AB20" s="434">
        <v>7</v>
      </c>
      <c r="AD20" s="415">
        <v>6</v>
      </c>
      <c r="AE20" s="468" t="s">
        <v>28</v>
      </c>
      <c r="AF20" s="493" t="s">
        <v>28</v>
      </c>
      <c r="AG20" s="415">
        <v>0</v>
      </c>
      <c r="AI20" s="415">
        <v>0</v>
      </c>
      <c r="AJ20" s="468">
        <v>0</v>
      </c>
      <c r="AK20" s="493">
        <v>0</v>
      </c>
      <c r="AL20" s="434">
        <v>0</v>
      </c>
      <c r="AN20" s="415"/>
      <c r="AO20" s="468"/>
      <c r="AP20" s="493"/>
      <c r="AQ20" s="434"/>
      <c r="AS20" s="415"/>
      <c r="AT20" s="468"/>
      <c r="AU20" s="493"/>
      <c r="AV20" s="434"/>
    </row>
    <row r="21" spans="1:48" ht="22.4" customHeight="1" outlineLevel="2">
      <c r="A21" s="612"/>
      <c r="B21" s="613"/>
      <c r="C21" s="42" t="s">
        <v>33</v>
      </c>
      <c r="D21" s="41" t="s">
        <v>34</v>
      </c>
      <c r="E21" s="432">
        <v>4</v>
      </c>
      <c r="F21" s="432">
        <v>4</v>
      </c>
      <c r="G21" s="432">
        <v>4</v>
      </c>
      <c r="H21" s="432">
        <v>4</v>
      </c>
      <c r="I21" s="433"/>
      <c r="J21" s="432">
        <v>4</v>
      </c>
      <c r="K21" s="432">
        <v>4</v>
      </c>
      <c r="L21" s="432">
        <v>4</v>
      </c>
      <c r="M21" s="434">
        <v>4</v>
      </c>
      <c r="N21" s="433"/>
      <c r="O21" s="432">
        <v>4</v>
      </c>
      <c r="P21" s="432">
        <v>4</v>
      </c>
      <c r="Q21" s="432">
        <v>4</v>
      </c>
      <c r="R21" s="434">
        <v>3</v>
      </c>
      <c r="T21" s="434">
        <v>4</v>
      </c>
      <c r="U21" s="434">
        <v>4</v>
      </c>
      <c r="V21" s="434">
        <v>3</v>
      </c>
      <c r="W21" s="434">
        <v>3</v>
      </c>
      <c r="Y21" s="415">
        <v>3</v>
      </c>
      <c r="Z21" s="415">
        <v>3</v>
      </c>
      <c r="AA21" s="415">
        <v>3</v>
      </c>
      <c r="AB21" s="434">
        <v>3</v>
      </c>
      <c r="AD21" s="415">
        <v>3</v>
      </c>
      <c r="AE21" s="468" t="s">
        <v>28</v>
      </c>
      <c r="AF21" s="493" t="s">
        <v>28</v>
      </c>
      <c r="AG21" s="415">
        <v>0</v>
      </c>
      <c r="AI21" s="415">
        <v>0</v>
      </c>
      <c r="AJ21" s="468">
        <v>0</v>
      </c>
      <c r="AK21" s="493">
        <v>0</v>
      </c>
      <c r="AL21" s="434">
        <v>0</v>
      </c>
      <c r="AN21" s="415"/>
      <c r="AO21" s="468"/>
      <c r="AP21" s="493"/>
      <c r="AQ21" s="434"/>
      <c r="AS21" s="415"/>
      <c r="AT21" s="468"/>
      <c r="AU21" s="493"/>
      <c r="AV21" s="434"/>
    </row>
    <row r="22" spans="1:48" ht="22.4" customHeight="1" outlineLevel="1">
      <c r="A22" s="612"/>
      <c r="B22" s="613"/>
      <c r="C22" s="42" t="s">
        <v>35</v>
      </c>
      <c r="D22" s="44" t="s">
        <v>35</v>
      </c>
      <c r="E22" s="432">
        <v>1</v>
      </c>
      <c r="F22" s="432">
        <v>2</v>
      </c>
      <c r="G22" s="432">
        <v>2</v>
      </c>
      <c r="H22" s="432">
        <v>3</v>
      </c>
      <c r="I22" s="433"/>
      <c r="J22" s="432">
        <v>3</v>
      </c>
      <c r="K22" s="432">
        <v>3</v>
      </c>
      <c r="L22" s="432">
        <v>3</v>
      </c>
      <c r="M22" s="434">
        <v>4</v>
      </c>
      <c r="N22" s="433"/>
      <c r="O22" s="432">
        <v>4</v>
      </c>
      <c r="P22" s="432">
        <v>4</v>
      </c>
      <c r="Q22" s="432">
        <v>3</v>
      </c>
      <c r="R22" s="434">
        <v>3</v>
      </c>
      <c r="T22" s="434">
        <v>4</v>
      </c>
      <c r="U22" s="434">
        <v>4</v>
      </c>
      <c r="V22" s="434">
        <v>3</v>
      </c>
      <c r="W22" s="434">
        <v>3</v>
      </c>
      <c r="Y22" s="415">
        <v>3</v>
      </c>
      <c r="Z22" s="415">
        <v>3</v>
      </c>
      <c r="AA22" s="415">
        <v>3</v>
      </c>
      <c r="AB22" s="434">
        <v>3</v>
      </c>
      <c r="AD22" s="415">
        <v>3</v>
      </c>
      <c r="AE22" s="468" t="s">
        <v>28</v>
      </c>
      <c r="AF22" s="493" t="s">
        <v>28</v>
      </c>
      <c r="AG22" s="415">
        <v>0</v>
      </c>
      <c r="AI22" s="415">
        <v>0</v>
      </c>
      <c r="AJ22" s="468">
        <v>0</v>
      </c>
      <c r="AK22" s="493">
        <v>0</v>
      </c>
      <c r="AL22" s="434">
        <v>0</v>
      </c>
      <c r="AN22" s="415"/>
      <c r="AO22" s="468"/>
      <c r="AP22" s="493"/>
      <c r="AQ22" s="434"/>
      <c r="AS22" s="415"/>
      <c r="AT22" s="468"/>
      <c r="AU22" s="493"/>
      <c r="AV22" s="434"/>
    </row>
    <row r="23" spans="1:48" ht="22.4" customHeight="1" outlineLevel="2">
      <c r="A23" s="612"/>
      <c r="B23" s="613"/>
      <c r="C23" s="42" t="s">
        <v>36</v>
      </c>
      <c r="D23" s="44" t="s">
        <v>37</v>
      </c>
      <c r="E23" s="432">
        <v>1</v>
      </c>
      <c r="F23" s="432">
        <v>1</v>
      </c>
      <c r="G23" s="432">
        <v>1</v>
      </c>
      <c r="H23" s="432">
        <v>1</v>
      </c>
      <c r="I23" s="433"/>
      <c r="J23" s="432">
        <v>1</v>
      </c>
      <c r="K23" s="432">
        <v>1</v>
      </c>
      <c r="L23" s="432">
        <v>1</v>
      </c>
      <c r="M23" s="434">
        <v>1</v>
      </c>
      <c r="N23" s="433"/>
      <c r="O23" s="432">
        <v>1</v>
      </c>
      <c r="P23" s="432">
        <v>1</v>
      </c>
      <c r="Q23" s="432">
        <v>1</v>
      </c>
      <c r="R23" s="434">
        <v>1</v>
      </c>
      <c r="T23" s="434">
        <v>1</v>
      </c>
      <c r="U23" s="434">
        <v>1</v>
      </c>
      <c r="V23" s="434">
        <v>1</v>
      </c>
      <c r="W23" s="434">
        <v>1</v>
      </c>
      <c r="Y23" s="415">
        <v>1</v>
      </c>
      <c r="Z23" s="415">
        <v>1</v>
      </c>
      <c r="AA23" s="415">
        <v>1</v>
      </c>
      <c r="AB23" s="434">
        <v>1</v>
      </c>
      <c r="AD23" s="415">
        <v>1</v>
      </c>
      <c r="AE23" s="415">
        <v>1</v>
      </c>
      <c r="AF23" s="493">
        <v>1</v>
      </c>
      <c r="AG23" s="434">
        <v>1</v>
      </c>
      <c r="AI23" s="415">
        <v>1</v>
      </c>
      <c r="AJ23" s="415">
        <v>1</v>
      </c>
      <c r="AK23" s="493">
        <v>1</v>
      </c>
      <c r="AL23" s="434">
        <v>1</v>
      </c>
      <c r="AN23" s="415">
        <v>1</v>
      </c>
      <c r="AO23" s="415">
        <v>1</v>
      </c>
      <c r="AP23" s="493">
        <v>1</v>
      </c>
      <c r="AQ23" s="434">
        <v>1</v>
      </c>
      <c r="AS23" s="415">
        <v>1</v>
      </c>
      <c r="AT23" s="415"/>
      <c r="AU23" s="493"/>
      <c r="AV23" s="434"/>
    </row>
    <row r="24" spans="1:48" ht="22.4" customHeight="1" outlineLevel="2">
      <c r="A24" s="612"/>
      <c r="B24" s="613"/>
      <c r="C24" s="42" t="s">
        <v>38</v>
      </c>
      <c r="D24" s="44" t="s">
        <v>39</v>
      </c>
      <c r="E24" s="432" t="s">
        <v>28</v>
      </c>
      <c r="F24" s="432" t="s">
        <v>28</v>
      </c>
      <c r="G24" s="432" t="s">
        <v>28</v>
      </c>
      <c r="H24" s="432" t="s">
        <v>28</v>
      </c>
      <c r="I24" s="433"/>
      <c r="J24" s="432" t="s">
        <v>28</v>
      </c>
      <c r="K24" s="432">
        <v>1</v>
      </c>
      <c r="L24" s="432">
        <v>2</v>
      </c>
      <c r="M24" s="434">
        <v>2</v>
      </c>
      <c r="N24" s="433"/>
      <c r="O24" s="432">
        <v>2</v>
      </c>
      <c r="P24" s="432">
        <v>2</v>
      </c>
      <c r="Q24" s="432">
        <v>2</v>
      </c>
      <c r="R24" s="434">
        <v>2</v>
      </c>
      <c r="T24" s="434">
        <v>2</v>
      </c>
      <c r="U24" s="434">
        <v>2</v>
      </c>
      <c r="V24" s="434">
        <v>2</v>
      </c>
      <c r="W24" s="434">
        <v>2</v>
      </c>
      <c r="Y24" s="415">
        <v>2</v>
      </c>
      <c r="Z24" s="415">
        <v>2</v>
      </c>
      <c r="AA24" s="415">
        <v>2</v>
      </c>
      <c r="AB24" s="434">
        <v>2</v>
      </c>
      <c r="AD24" s="415">
        <v>2</v>
      </c>
      <c r="AE24" s="415">
        <v>2</v>
      </c>
      <c r="AF24" s="493">
        <v>2</v>
      </c>
      <c r="AG24" s="434">
        <v>2</v>
      </c>
      <c r="AI24" s="415">
        <v>2</v>
      </c>
      <c r="AJ24" s="415">
        <v>2</v>
      </c>
      <c r="AK24" s="493">
        <v>2</v>
      </c>
      <c r="AL24" s="434">
        <v>2</v>
      </c>
      <c r="AN24" s="415">
        <v>2</v>
      </c>
      <c r="AO24" s="415">
        <v>2</v>
      </c>
      <c r="AP24" s="493">
        <v>2</v>
      </c>
      <c r="AQ24" s="434">
        <v>2</v>
      </c>
      <c r="AS24" s="415">
        <v>2</v>
      </c>
      <c r="AT24" s="415"/>
      <c r="AU24" s="493"/>
      <c r="AV24" s="434"/>
    </row>
    <row r="25" spans="1:48" ht="22.4" customHeight="1" outlineLevel="2">
      <c r="A25" s="612"/>
      <c r="B25" s="613"/>
      <c r="C25" s="42" t="s">
        <v>40</v>
      </c>
      <c r="D25" s="44" t="s">
        <v>41</v>
      </c>
      <c r="E25" s="432" t="s">
        <v>28</v>
      </c>
      <c r="F25" s="432" t="s">
        <v>28</v>
      </c>
      <c r="G25" s="432" t="s">
        <v>28</v>
      </c>
      <c r="H25" s="432" t="s">
        <v>28</v>
      </c>
      <c r="I25" s="433"/>
      <c r="J25" s="432" t="s">
        <v>28</v>
      </c>
      <c r="K25" s="432">
        <v>1</v>
      </c>
      <c r="L25" s="432">
        <v>1</v>
      </c>
      <c r="M25" s="434">
        <v>1</v>
      </c>
      <c r="N25" s="433"/>
      <c r="O25" s="432">
        <v>1</v>
      </c>
      <c r="P25" s="432">
        <v>1</v>
      </c>
      <c r="Q25" s="432">
        <v>1</v>
      </c>
      <c r="R25" s="434">
        <v>1</v>
      </c>
      <c r="T25" s="434">
        <v>1</v>
      </c>
      <c r="U25" s="434">
        <v>1</v>
      </c>
      <c r="V25" s="434">
        <v>1</v>
      </c>
      <c r="W25" s="434">
        <v>1</v>
      </c>
      <c r="Y25" s="415">
        <v>1</v>
      </c>
      <c r="Z25" s="415">
        <v>1</v>
      </c>
      <c r="AA25" s="415">
        <v>1</v>
      </c>
      <c r="AB25" s="434">
        <v>1</v>
      </c>
      <c r="AD25" s="415">
        <v>1</v>
      </c>
      <c r="AE25" s="415">
        <v>1</v>
      </c>
      <c r="AF25" s="493">
        <v>1</v>
      </c>
      <c r="AG25" s="434">
        <v>1</v>
      </c>
      <c r="AI25" s="415">
        <v>1</v>
      </c>
      <c r="AJ25" s="415">
        <v>1</v>
      </c>
      <c r="AK25" s="493">
        <v>1</v>
      </c>
      <c r="AL25" s="434">
        <v>0</v>
      </c>
      <c r="AN25" s="415"/>
      <c r="AO25" s="415"/>
      <c r="AP25" s="493"/>
      <c r="AQ25" s="434"/>
      <c r="AS25" s="415"/>
      <c r="AT25" s="415"/>
      <c r="AU25" s="493"/>
      <c r="AV25" s="434"/>
    </row>
    <row r="26" spans="1:48" ht="22.4" customHeight="1" outlineLevel="2">
      <c r="A26" s="612"/>
      <c r="B26" s="613"/>
      <c r="C26" s="42" t="s">
        <v>42</v>
      </c>
      <c r="D26" s="41" t="s">
        <v>43</v>
      </c>
      <c r="E26" s="432" t="s">
        <v>28</v>
      </c>
      <c r="F26" s="432" t="s">
        <v>28</v>
      </c>
      <c r="G26" s="432" t="s">
        <v>28</v>
      </c>
      <c r="H26" s="432" t="s">
        <v>28</v>
      </c>
      <c r="I26" s="433"/>
      <c r="J26" s="432" t="s">
        <v>28</v>
      </c>
      <c r="K26" s="432">
        <v>2</v>
      </c>
      <c r="L26" s="432">
        <v>3</v>
      </c>
      <c r="M26" s="434">
        <v>4</v>
      </c>
      <c r="N26" s="433"/>
      <c r="O26" s="432">
        <v>5</v>
      </c>
      <c r="P26" s="432">
        <v>5</v>
      </c>
      <c r="Q26" s="432">
        <v>5</v>
      </c>
      <c r="R26" s="434">
        <v>5</v>
      </c>
      <c r="T26" s="434">
        <v>4</v>
      </c>
      <c r="U26" s="434">
        <v>5</v>
      </c>
      <c r="V26" s="434">
        <v>5</v>
      </c>
      <c r="W26" s="434">
        <v>5</v>
      </c>
      <c r="Y26" s="415">
        <v>5</v>
      </c>
      <c r="Z26" s="415">
        <v>5</v>
      </c>
      <c r="AA26" s="415">
        <v>6</v>
      </c>
      <c r="AB26" s="434">
        <v>6</v>
      </c>
      <c r="AD26" s="415">
        <v>6</v>
      </c>
      <c r="AE26" s="415">
        <v>6</v>
      </c>
      <c r="AF26" s="493">
        <v>6</v>
      </c>
      <c r="AG26" s="434">
        <v>6</v>
      </c>
      <c r="AI26" s="415">
        <v>6</v>
      </c>
      <c r="AJ26" s="415">
        <v>6</v>
      </c>
      <c r="AK26" s="493">
        <v>6</v>
      </c>
      <c r="AL26" s="434">
        <v>3</v>
      </c>
      <c r="AN26" s="415">
        <v>3</v>
      </c>
      <c r="AO26" s="415">
        <v>3</v>
      </c>
      <c r="AP26" s="493">
        <v>0</v>
      </c>
      <c r="AQ26" s="434"/>
      <c r="AS26" s="415"/>
      <c r="AT26" s="415"/>
      <c r="AU26" s="493"/>
      <c r="AV26" s="434"/>
    </row>
    <row r="27" spans="1:48" ht="22.4" customHeight="1" outlineLevel="2">
      <c r="A27" s="612"/>
      <c r="B27" s="613"/>
      <c r="C27" s="42" t="s">
        <v>44</v>
      </c>
      <c r="D27" s="41" t="s">
        <v>45</v>
      </c>
      <c r="E27" s="432"/>
      <c r="F27" s="432"/>
      <c r="G27" s="432"/>
      <c r="H27" s="432" t="s">
        <v>28</v>
      </c>
      <c r="I27" s="433"/>
      <c r="J27" s="432" t="s">
        <v>28</v>
      </c>
      <c r="K27" s="432" t="s">
        <v>28</v>
      </c>
      <c r="L27" s="432">
        <v>1</v>
      </c>
      <c r="M27" s="434">
        <v>1</v>
      </c>
      <c r="N27" s="433"/>
      <c r="O27" s="432">
        <v>1</v>
      </c>
      <c r="P27" s="432">
        <v>2</v>
      </c>
      <c r="Q27" s="432">
        <v>2</v>
      </c>
      <c r="R27" s="434">
        <v>2</v>
      </c>
      <c r="T27" s="434">
        <v>1</v>
      </c>
      <c r="U27" s="434">
        <v>2</v>
      </c>
      <c r="V27" s="434">
        <v>2</v>
      </c>
      <c r="W27" s="434">
        <v>2</v>
      </c>
      <c r="Y27" s="415">
        <v>3</v>
      </c>
      <c r="Z27" s="415">
        <v>3</v>
      </c>
      <c r="AA27" s="415">
        <v>3</v>
      </c>
      <c r="AB27" s="434">
        <v>3</v>
      </c>
      <c r="AD27" s="415">
        <v>3</v>
      </c>
      <c r="AE27" s="415">
        <v>3</v>
      </c>
      <c r="AF27" s="493">
        <v>3</v>
      </c>
      <c r="AG27" s="434">
        <v>3</v>
      </c>
      <c r="AI27" s="415">
        <v>3</v>
      </c>
      <c r="AJ27" s="415">
        <v>3</v>
      </c>
      <c r="AK27" s="493">
        <v>3</v>
      </c>
      <c r="AL27" s="434">
        <v>1</v>
      </c>
      <c r="AN27" s="415">
        <v>1</v>
      </c>
      <c r="AO27" s="415">
        <v>1</v>
      </c>
      <c r="AP27" s="493">
        <v>0</v>
      </c>
      <c r="AQ27" s="434"/>
      <c r="AS27" s="415"/>
      <c r="AT27" s="415"/>
      <c r="AU27" s="493"/>
      <c r="AV27" s="434"/>
    </row>
    <row r="28" spans="1:48" ht="22.4" customHeight="1" outlineLevel="2">
      <c r="A28" s="612"/>
      <c r="B28" s="613"/>
      <c r="C28" s="42" t="s">
        <v>46</v>
      </c>
      <c r="D28" s="41" t="s">
        <v>46</v>
      </c>
      <c r="E28" s="432"/>
      <c r="F28" s="432"/>
      <c r="G28" s="432"/>
      <c r="H28" s="432" t="s">
        <v>28</v>
      </c>
      <c r="I28" s="433"/>
      <c r="J28" s="432" t="s">
        <v>28</v>
      </c>
      <c r="K28" s="432" t="s">
        <v>28</v>
      </c>
      <c r="L28" s="432">
        <v>1</v>
      </c>
      <c r="M28" s="434">
        <v>1</v>
      </c>
      <c r="N28" s="433"/>
      <c r="O28" s="432">
        <v>1</v>
      </c>
      <c r="P28" s="432">
        <v>1</v>
      </c>
      <c r="Q28" s="432">
        <v>1</v>
      </c>
      <c r="R28" s="434">
        <v>1</v>
      </c>
      <c r="T28" s="434">
        <v>1</v>
      </c>
      <c r="U28" s="434">
        <v>1</v>
      </c>
      <c r="V28" s="434">
        <v>1</v>
      </c>
      <c r="W28" s="434">
        <v>1</v>
      </c>
      <c r="Y28" s="415">
        <v>1</v>
      </c>
      <c r="Z28" s="415">
        <v>1</v>
      </c>
      <c r="AA28" s="415">
        <v>1</v>
      </c>
      <c r="AB28" s="434">
        <v>1</v>
      </c>
      <c r="AD28" s="415">
        <v>1</v>
      </c>
      <c r="AE28" s="415">
        <v>1</v>
      </c>
      <c r="AF28" s="493">
        <v>1</v>
      </c>
      <c r="AG28" s="434">
        <v>1</v>
      </c>
      <c r="AI28" s="415">
        <v>1</v>
      </c>
      <c r="AJ28" s="415">
        <v>1</v>
      </c>
      <c r="AK28" s="493">
        <v>1</v>
      </c>
      <c r="AL28" s="434">
        <v>1</v>
      </c>
      <c r="AN28" s="415">
        <v>1</v>
      </c>
      <c r="AO28" s="415">
        <v>1</v>
      </c>
      <c r="AP28" s="493">
        <v>0</v>
      </c>
      <c r="AQ28" s="434"/>
      <c r="AS28" s="415"/>
      <c r="AT28" s="415"/>
      <c r="AU28" s="493"/>
      <c r="AV28" s="434"/>
    </row>
    <row r="29" spans="1:48" ht="22.4" customHeight="1" outlineLevel="2">
      <c r="A29" s="612"/>
      <c r="B29" s="611"/>
      <c r="C29" s="472" t="s">
        <v>47</v>
      </c>
      <c r="D29" s="43" t="s">
        <v>48</v>
      </c>
      <c r="E29" s="432" t="s">
        <v>28</v>
      </c>
      <c r="F29" s="432" t="s">
        <v>28</v>
      </c>
      <c r="G29" s="432" t="s">
        <v>28</v>
      </c>
      <c r="H29" s="432" t="s">
        <v>28</v>
      </c>
      <c r="I29" s="433"/>
      <c r="J29" s="432" t="s">
        <v>28</v>
      </c>
      <c r="K29" s="432" t="s">
        <v>28</v>
      </c>
      <c r="L29" s="432">
        <v>1</v>
      </c>
      <c r="M29" s="435">
        <v>1</v>
      </c>
      <c r="N29" s="430"/>
      <c r="O29" s="432">
        <v>1</v>
      </c>
      <c r="P29" s="432">
        <v>1</v>
      </c>
      <c r="Q29" s="432">
        <v>1</v>
      </c>
      <c r="R29" s="435">
        <v>1</v>
      </c>
      <c r="T29" s="435">
        <v>1</v>
      </c>
      <c r="U29" s="435">
        <v>1</v>
      </c>
      <c r="V29" s="435">
        <v>1</v>
      </c>
      <c r="W29" s="435">
        <v>1</v>
      </c>
      <c r="Y29" s="422">
        <v>1</v>
      </c>
      <c r="Z29" s="422">
        <v>1</v>
      </c>
      <c r="AA29" s="422">
        <v>1</v>
      </c>
      <c r="AB29" s="435">
        <v>1</v>
      </c>
      <c r="AD29" s="422">
        <v>1</v>
      </c>
      <c r="AE29" s="422">
        <v>1</v>
      </c>
      <c r="AF29" s="494">
        <v>1</v>
      </c>
      <c r="AG29" s="435">
        <v>1</v>
      </c>
      <c r="AI29" s="422">
        <v>1</v>
      </c>
      <c r="AJ29" s="422">
        <v>1</v>
      </c>
      <c r="AK29" s="494">
        <v>1</v>
      </c>
      <c r="AL29" s="435">
        <v>0</v>
      </c>
      <c r="AN29" s="422"/>
      <c r="AO29" s="422"/>
      <c r="AP29" s="494"/>
      <c r="AQ29" s="435"/>
      <c r="AS29" s="422"/>
      <c r="AT29" s="422"/>
      <c r="AU29" s="494"/>
      <c r="AV29" s="435"/>
    </row>
    <row r="30" spans="1:48" ht="15.9" outlineLevel="1">
      <c r="A30" s="612"/>
      <c r="B30" s="558"/>
      <c r="C30" s="436" t="s">
        <v>49</v>
      </c>
      <c r="D30" s="437" t="s">
        <v>50</v>
      </c>
      <c r="E30" s="55">
        <f>SUM(E19:E29)</f>
        <v>19</v>
      </c>
      <c r="F30" s="55">
        <f>SUM(F19:F29)</f>
        <v>21</v>
      </c>
      <c r="G30" s="55">
        <f>SUM(G19:G29)</f>
        <v>22</v>
      </c>
      <c r="H30" s="55">
        <f>SUM(H19:H29)</f>
        <v>26</v>
      </c>
      <c r="I30" s="56"/>
      <c r="J30" s="55">
        <f>SUM(J19:J29)</f>
        <v>26</v>
      </c>
      <c r="K30" s="55">
        <f>SUM(K19:K29)</f>
        <v>31</v>
      </c>
      <c r="L30" s="55">
        <f>SUM(L19:L29)</f>
        <v>39</v>
      </c>
      <c r="M30" s="55">
        <f>SUM(M19:M29)</f>
        <v>43</v>
      </c>
      <c r="N30" s="56"/>
      <c r="O30" s="55">
        <f>SUM(O19:O29)</f>
        <v>44</v>
      </c>
      <c r="P30" s="55">
        <f>SUM(P19:P29)</f>
        <v>47</v>
      </c>
      <c r="Q30" s="55">
        <f>SUM(Q19:Q29)</f>
        <v>46</v>
      </c>
      <c r="R30" s="55">
        <f>SUM(R19:R29)</f>
        <v>45</v>
      </c>
      <c r="T30" s="55">
        <f>SUM(T19:T29)</f>
        <v>43</v>
      </c>
      <c r="U30" s="55">
        <f>SUM(U19:U29)</f>
        <v>47</v>
      </c>
      <c r="V30" s="55">
        <f>SUM(V19:V29)</f>
        <v>45</v>
      </c>
      <c r="W30" s="55">
        <f>SUM(W19:W29)</f>
        <v>44</v>
      </c>
      <c r="Y30" s="55">
        <f>SUM(Y19:Y29)</f>
        <v>45</v>
      </c>
      <c r="Z30" s="55">
        <f>SUM(Z19:Z29)</f>
        <v>45</v>
      </c>
      <c r="AA30" s="55">
        <f>SUM(AA19:AA29)</f>
        <v>46</v>
      </c>
      <c r="AB30" s="55">
        <f>SUM(AB19:AB29)</f>
        <v>45</v>
      </c>
      <c r="AD30" s="55">
        <f>SUM(AD19:AD29)</f>
        <v>43</v>
      </c>
      <c r="AE30" s="55">
        <v>31</v>
      </c>
      <c r="AF30" s="55">
        <f>SUM(AF19:AF29)</f>
        <v>32</v>
      </c>
      <c r="AG30" s="55">
        <v>31</v>
      </c>
      <c r="AI30" s="55">
        <f>SUM(AI19:AI29)</f>
        <v>15</v>
      </c>
      <c r="AJ30" s="55">
        <f>SUM(AJ19:AJ29)</f>
        <v>15</v>
      </c>
      <c r="AK30" s="55">
        <f>SUM(AK19:AK29)</f>
        <v>15</v>
      </c>
      <c r="AL30" s="55">
        <f>SUM(AL19:AL29)</f>
        <v>8</v>
      </c>
      <c r="AN30" s="55">
        <f>SUM(AN19:AN29)</f>
        <v>8</v>
      </c>
      <c r="AO30" s="55">
        <f>SUM(AO19:AO29)</f>
        <v>8</v>
      </c>
      <c r="AP30" s="55">
        <f>SUM(AP19:AP29)</f>
        <v>3</v>
      </c>
      <c r="AQ30" s="55">
        <v>3</v>
      </c>
      <c r="AS30" s="55">
        <f>SUM(AS19:AS29)</f>
        <v>3</v>
      </c>
      <c r="AT30" s="55">
        <f>SUM(AT19:AT29)</f>
        <v>0</v>
      </c>
      <c r="AU30" s="55">
        <f>SUM(AU19:AU29)</f>
        <v>0</v>
      </c>
      <c r="AV30" s="55">
        <v>3</v>
      </c>
    </row>
    <row r="31" spans="1:48" ht="22.4" customHeight="1" outlineLevel="3">
      <c r="A31" s="612"/>
      <c r="B31" s="610" t="s">
        <v>275</v>
      </c>
      <c r="C31" s="124" t="s">
        <v>64</v>
      </c>
      <c r="D31" s="124" t="s">
        <v>64</v>
      </c>
      <c r="E31" s="438">
        <v>2</v>
      </c>
      <c r="F31" s="439">
        <v>2</v>
      </c>
      <c r="G31" s="439">
        <v>4</v>
      </c>
      <c r="H31" s="439">
        <v>9</v>
      </c>
      <c r="I31" s="414"/>
      <c r="J31" s="440">
        <v>10</v>
      </c>
      <c r="K31" s="439">
        <v>12</v>
      </c>
      <c r="L31" s="439">
        <v>14</v>
      </c>
      <c r="M31" s="439">
        <v>19</v>
      </c>
      <c r="N31" s="414"/>
      <c r="O31" s="440">
        <v>22</v>
      </c>
      <c r="P31" s="439">
        <v>25</v>
      </c>
      <c r="Q31" s="439">
        <v>25</v>
      </c>
      <c r="R31" s="439">
        <v>25</v>
      </c>
      <c r="T31" s="439">
        <v>22</v>
      </c>
      <c r="U31" s="439">
        <v>25</v>
      </c>
      <c r="V31" s="439">
        <v>25</v>
      </c>
      <c r="W31" s="439">
        <v>25</v>
      </c>
      <c r="Y31" s="439">
        <v>25</v>
      </c>
      <c r="Z31" s="439">
        <v>27</v>
      </c>
      <c r="AA31" s="439">
        <v>27</v>
      </c>
      <c r="AB31" s="439">
        <v>28</v>
      </c>
      <c r="AD31" s="439">
        <v>30</v>
      </c>
      <c r="AE31" s="439">
        <v>33</v>
      </c>
      <c r="AF31" s="495">
        <v>35</v>
      </c>
      <c r="AG31" s="439">
        <v>38</v>
      </c>
      <c r="AI31" s="439">
        <v>42</v>
      </c>
      <c r="AJ31" s="439">
        <v>48</v>
      </c>
      <c r="AK31" s="495">
        <v>50</v>
      </c>
      <c r="AL31" s="439">
        <v>52</v>
      </c>
      <c r="AN31" s="439">
        <v>52</v>
      </c>
      <c r="AO31" s="439">
        <v>52</v>
      </c>
      <c r="AP31" s="495">
        <v>51</v>
      </c>
      <c r="AQ31" s="439">
        <v>49</v>
      </c>
      <c r="AS31" s="439">
        <v>50</v>
      </c>
      <c r="AT31" s="439"/>
      <c r="AU31" s="495"/>
      <c r="AV31" s="439"/>
    </row>
    <row r="32" spans="1:48" ht="22.4" customHeight="1" outlineLevel="3">
      <c r="A32" s="612"/>
      <c r="B32" s="613"/>
      <c r="C32" s="42" t="s">
        <v>52</v>
      </c>
      <c r="D32" s="42" t="s">
        <v>52</v>
      </c>
      <c r="E32" s="441"/>
      <c r="F32" s="415"/>
      <c r="G32" s="415"/>
      <c r="H32" s="415"/>
      <c r="I32" s="414"/>
      <c r="J32" s="432"/>
      <c r="K32" s="415"/>
      <c r="L32" s="415"/>
      <c r="M32" s="415"/>
      <c r="N32" s="414"/>
      <c r="O32" s="432"/>
      <c r="P32" s="415"/>
      <c r="Q32" s="415"/>
      <c r="R32" s="415"/>
      <c r="T32" s="415"/>
      <c r="U32" s="415"/>
      <c r="V32" s="415"/>
      <c r="W32" s="415"/>
      <c r="Y32" s="415">
        <v>1</v>
      </c>
      <c r="Z32" s="415">
        <v>22</v>
      </c>
      <c r="AA32" s="415">
        <v>33</v>
      </c>
      <c r="AB32" s="415">
        <v>50</v>
      </c>
      <c r="AD32" s="415">
        <v>66</v>
      </c>
      <c r="AE32" s="415">
        <v>77</v>
      </c>
      <c r="AF32" s="493">
        <v>84</v>
      </c>
      <c r="AG32" s="415">
        <v>91</v>
      </c>
      <c r="AI32" s="415">
        <v>101</v>
      </c>
      <c r="AJ32" s="415">
        <v>108</v>
      </c>
      <c r="AK32" s="493">
        <v>121</v>
      </c>
      <c r="AL32" s="415">
        <v>123</v>
      </c>
      <c r="AN32" s="415">
        <v>129</v>
      </c>
      <c r="AO32" s="415">
        <v>131</v>
      </c>
      <c r="AP32" s="493">
        <v>141</v>
      </c>
      <c r="AQ32" s="415">
        <v>152</v>
      </c>
      <c r="AS32" s="415">
        <v>159</v>
      </c>
      <c r="AT32" s="415"/>
      <c r="AU32" s="493"/>
      <c r="AV32" s="415"/>
    </row>
    <row r="33" spans="1:48" ht="22.4" customHeight="1" outlineLevel="3">
      <c r="A33" s="612"/>
      <c r="B33" s="613"/>
      <c r="C33" s="124" t="s">
        <v>347</v>
      </c>
      <c r="D33" s="124" t="s">
        <v>347</v>
      </c>
      <c r="E33" s="441"/>
      <c r="F33" s="415"/>
      <c r="G33" s="415"/>
      <c r="H33" s="415"/>
      <c r="I33" s="414"/>
      <c r="J33" s="432"/>
      <c r="K33" s="415"/>
      <c r="L33" s="415"/>
      <c r="M33" s="415"/>
      <c r="N33" s="414"/>
      <c r="O33" s="432"/>
      <c r="P33" s="415"/>
      <c r="Q33" s="415"/>
      <c r="R33" s="415"/>
      <c r="T33" s="415"/>
      <c r="U33" s="415"/>
      <c r="V33" s="415"/>
      <c r="W33" s="415"/>
      <c r="Y33" s="415"/>
      <c r="Z33" s="415"/>
      <c r="AA33" s="415"/>
      <c r="AB33" s="415"/>
      <c r="AD33" s="415"/>
      <c r="AE33" s="415"/>
      <c r="AF33" s="493"/>
      <c r="AG33" s="415"/>
      <c r="AI33" s="415"/>
      <c r="AJ33" s="415"/>
      <c r="AK33" s="493"/>
      <c r="AL33" s="415"/>
      <c r="AN33" s="415">
        <v>0</v>
      </c>
      <c r="AO33" s="415">
        <v>14</v>
      </c>
      <c r="AP33" s="493">
        <v>14</v>
      </c>
      <c r="AQ33" s="415">
        <v>12</v>
      </c>
      <c r="AS33" s="415">
        <v>12</v>
      </c>
      <c r="AT33" s="415"/>
      <c r="AU33" s="493"/>
      <c r="AV33" s="415"/>
    </row>
    <row r="34" spans="1:48" ht="22.4" customHeight="1" outlineLevel="3">
      <c r="A34" s="612"/>
      <c r="B34" s="613"/>
      <c r="C34" s="124" t="s">
        <v>348</v>
      </c>
      <c r="D34" s="124" t="s">
        <v>348</v>
      </c>
      <c r="E34" s="441"/>
      <c r="F34" s="415"/>
      <c r="G34" s="415"/>
      <c r="H34" s="415"/>
      <c r="I34" s="414"/>
      <c r="J34" s="432"/>
      <c r="K34" s="415"/>
      <c r="L34" s="415"/>
      <c r="M34" s="415"/>
      <c r="N34" s="414"/>
      <c r="O34" s="432"/>
      <c r="P34" s="415"/>
      <c r="Q34" s="415"/>
      <c r="R34" s="415"/>
      <c r="T34" s="415"/>
      <c r="U34" s="415"/>
      <c r="V34" s="415"/>
      <c r="W34" s="415"/>
      <c r="Y34" s="415"/>
      <c r="Z34" s="415"/>
      <c r="AA34" s="415"/>
      <c r="AB34" s="415"/>
      <c r="AD34" s="415"/>
      <c r="AE34" s="415"/>
      <c r="AF34" s="493"/>
      <c r="AG34" s="415"/>
      <c r="AI34" s="415"/>
      <c r="AJ34" s="415"/>
      <c r="AK34" s="493"/>
      <c r="AL34" s="415"/>
      <c r="AN34" s="415"/>
      <c r="AO34" s="415"/>
      <c r="AP34" s="493">
        <v>2</v>
      </c>
      <c r="AQ34" s="415">
        <v>6</v>
      </c>
      <c r="AS34" s="415">
        <v>27</v>
      </c>
      <c r="AT34" s="415"/>
      <c r="AU34" s="493"/>
      <c r="AV34" s="415"/>
    </row>
    <row r="35" spans="1:48" ht="22.4" customHeight="1" outlineLevel="3">
      <c r="A35" s="612"/>
      <c r="B35" s="613"/>
      <c r="C35" s="42" t="s">
        <v>53</v>
      </c>
      <c r="D35" s="40" t="s">
        <v>53</v>
      </c>
      <c r="E35" s="441"/>
      <c r="F35" s="415">
        <v>208</v>
      </c>
      <c r="G35" s="415">
        <v>205</v>
      </c>
      <c r="H35" s="415">
        <v>197</v>
      </c>
      <c r="I35" s="414"/>
      <c r="J35" s="432">
        <v>190</v>
      </c>
      <c r="K35" s="415">
        <v>187</v>
      </c>
      <c r="L35" s="415">
        <v>182</v>
      </c>
      <c r="M35" s="415">
        <v>179</v>
      </c>
      <c r="N35" s="414"/>
      <c r="O35" s="432">
        <v>167</v>
      </c>
      <c r="P35" s="415" t="s">
        <v>28</v>
      </c>
      <c r="Q35" s="415" t="s">
        <v>28</v>
      </c>
      <c r="R35" s="415" t="s">
        <v>28</v>
      </c>
      <c r="T35" s="415" t="s">
        <v>28</v>
      </c>
      <c r="U35" s="415" t="s">
        <v>28</v>
      </c>
      <c r="V35" s="415" t="s">
        <v>28</v>
      </c>
      <c r="W35" s="415" t="s">
        <v>28</v>
      </c>
      <c r="Y35" s="415" t="s">
        <v>28</v>
      </c>
      <c r="Z35" s="415" t="s">
        <v>28</v>
      </c>
      <c r="AA35" s="415" t="s">
        <v>28</v>
      </c>
      <c r="AB35" s="415" t="s">
        <v>28</v>
      </c>
      <c r="AD35" s="415"/>
      <c r="AE35" s="415"/>
      <c r="AF35" s="496" t="s">
        <v>28</v>
      </c>
      <c r="AG35" s="415">
        <v>0</v>
      </c>
      <c r="AI35" s="415">
        <v>0</v>
      </c>
      <c r="AJ35" s="415">
        <v>0</v>
      </c>
      <c r="AK35" s="415">
        <v>0</v>
      </c>
      <c r="AL35" s="415">
        <v>0</v>
      </c>
      <c r="AN35" s="415">
        <v>0</v>
      </c>
      <c r="AO35" s="415">
        <v>0</v>
      </c>
      <c r="AP35" s="415">
        <v>0</v>
      </c>
      <c r="AQ35" s="415"/>
      <c r="AS35" s="415"/>
      <c r="AT35" s="415"/>
      <c r="AU35" s="415"/>
      <c r="AV35" s="415"/>
    </row>
    <row r="36" spans="1:48" ht="22.4" customHeight="1" outlineLevel="3">
      <c r="A36" s="612"/>
      <c r="B36" s="611"/>
      <c r="C36" s="42" t="s">
        <v>54</v>
      </c>
      <c r="D36" s="40" t="s">
        <v>54</v>
      </c>
      <c r="E36" s="432" t="s">
        <v>28</v>
      </c>
      <c r="F36" s="432" t="s">
        <v>28</v>
      </c>
      <c r="G36" s="432" t="s">
        <v>28</v>
      </c>
      <c r="H36" s="432">
        <v>72</v>
      </c>
      <c r="I36" s="414"/>
      <c r="J36" s="432">
        <v>72</v>
      </c>
      <c r="K36" s="415">
        <v>72</v>
      </c>
      <c r="L36" s="415">
        <v>66</v>
      </c>
      <c r="M36" s="415">
        <v>59</v>
      </c>
      <c r="N36" s="414"/>
      <c r="O36" s="432">
        <v>44</v>
      </c>
      <c r="P36" s="415">
        <v>40</v>
      </c>
      <c r="Q36" s="415">
        <v>37</v>
      </c>
      <c r="R36" s="415">
        <v>36</v>
      </c>
      <c r="T36" s="415">
        <v>42</v>
      </c>
      <c r="U36" s="415">
        <v>38</v>
      </c>
      <c r="V36" s="415">
        <v>37</v>
      </c>
      <c r="W36" s="415">
        <v>16</v>
      </c>
      <c r="Y36" s="415">
        <v>9</v>
      </c>
      <c r="Z36" s="415">
        <v>1</v>
      </c>
      <c r="AA36" s="415" t="s">
        <v>28</v>
      </c>
      <c r="AB36" s="415" t="s">
        <v>28</v>
      </c>
      <c r="AD36" s="415"/>
      <c r="AE36" s="415"/>
      <c r="AF36" s="496"/>
      <c r="AG36" s="415">
        <v>0</v>
      </c>
      <c r="AI36" s="415">
        <v>0</v>
      </c>
      <c r="AJ36" s="415">
        <v>0</v>
      </c>
      <c r="AK36" s="415">
        <v>0</v>
      </c>
      <c r="AL36" s="415">
        <v>0</v>
      </c>
      <c r="AN36" s="415">
        <v>0</v>
      </c>
      <c r="AO36" s="415">
        <v>0</v>
      </c>
      <c r="AP36" s="415">
        <v>0</v>
      </c>
      <c r="AQ36" s="415"/>
      <c r="AS36" s="415"/>
      <c r="AT36" s="415"/>
      <c r="AU36" s="415"/>
      <c r="AV36" s="415"/>
    </row>
    <row r="37" spans="1:48" ht="35.5" customHeight="1" thickBot="1">
      <c r="A37" s="612"/>
      <c r="C37" s="442" t="s">
        <v>55</v>
      </c>
      <c r="D37" s="443" t="s">
        <v>56</v>
      </c>
      <c r="E37" s="149">
        <f>SUM(E31:E36)+E18+E30</f>
        <v>803</v>
      </c>
      <c r="F37" s="150">
        <f>SUM(F31:F36)+F18+F30</f>
        <v>1085</v>
      </c>
      <c r="G37" s="150">
        <f>SUM(G31:G36)+G18+G30</f>
        <v>1102</v>
      </c>
      <c r="H37" s="150">
        <f>SUM(H31:H36)+H18+H30</f>
        <v>1197</v>
      </c>
      <c r="I37" s="138"/>
      <c r="J37" s="146">
        <f>J18+SUM(J30:J36)</f>
        <v>1196</v>
      </c>
      <c r="K37" s="146">
        <f>K18+SUM(K30:K36)</f>
        <v>1213</v>
      </c>
      <c r="L37" s="146">
        <f>L18+SUM(L30:L36)</f>
        <v>1219</v>
      </c>
      <c r="M37" s="146">
        <f>M18+SUM(M30:M36)</f>
        <v>1242</v>
      </c>
      <c r="N37" s="138"/>
      <c r="O37" s="146">
        <f>O18+SUM(O30:O36)</f>
        <v>1211</v>
      </c>
      <c r="P37" s="146">
        <f>P18+SUM(P30:P36)</f>
        <v>1045</v>
      </c>
      <c r="Q37" s="146">
        <f>Q18+SUM(Q30:Q36)</f>
        <v>1053</v>
      </c>
      <c r="R37" s="146">
        <f>R18+SUM(R30:R36)</f>
        <v>1060</v>
      </c>
      <c r="S37" s="139"/>
      <c r="T37" s="146">
        <f>T18+SUM(T30:T36)</f>
        <v>1040</v>
      </c>
      <c r="U37" s="146">
        <f>U18+SUM(U30:U36)</f>
        <v>1042</v>
      </c>
      <c r="V37" s="146">
        <f>V18+SUM(V30:V36)</f>
        <v>1062</v>
      </c>
      <c r="W37" s="146">
        <f>W18+SUM(W30:W36)</f>
        <v>1025</v>
      </c>
      <c r="X37" s="139"/>
      <c r="Y37" s="146">
        <f>Y18+SUM(Y30:Y36)</f>
        <v>1003</v>
      </c>
      <c r="Z37" s="146">
        <f>Z18+Z30+Z31+Z32+Z36</f>
        <v>991</v>
      </c>
      <c r="AA37" s="146">
        <f>AA18+AA30+AA31+AA32</f>
        <v>977</v>
      </c>
      <c r="AB37" s="146">
        <f>AB18+AB30+AB31+AB32</f>
        <v>972</v>
      </c>
      <c r="AC37" s="139"/>
      <c r="AD37" s="146">
        <f>AD18+AD30+AD31+AD32</f>
        <v>950</v>
      </c>
      <c r="AE37" s="146">
        <v>960</v>
      </c>
      <c r="AF37" s="146">
        <f>AF18+AF30+AF31+AF32</f>
        <v>975</v>
      </c>
      <c r="AG37" s="146">
        <v>979</v>
      </c>
      <c r="AI37" s="146">
        <f>AI18+AI30+AI31+AI32</f>
        <v>992</v>
      </c>
      <c r="AJ37" s="146">
        <f>AJ18+AJ30+AJ31+AJ32</f>
        <v>987</v>
      </c>
      <c r="AK37" s="146">
        <f>AK18+AK30+AK31+AK32</f>
        <v>993</v>
      </c>
      <c r="AL37" s="146">
        <f>AL18+AL30+AL31+AL32</f>
        <v>979</v>
      </c>
      <c r="AN37" s="146">
        <f>AN18+AN30+AN31+AN32</f>
        <v>988</v>
      </c>
      <c r="AO37" s="146">
        <f>AO18+AO30+AO31+AO32+AO33</f>
        <v>1002</v>
      </c>
      <c r="AP37" s="146">
        <f>AP18+AP30+AP31+AP32+AP33+AP34</f>
        <v>1018</v>
      </c>
      <c r="AQ37" s="146">
        <v>1038</v>
      </c>
      <c r="AS37" s="146">
        <f>AS18+AS30+AS31+AS32+AS33+AS34</f>
        <v>1082</v>
      </c>
      <c r="AT37" s="146">
        <f>AT18+AT30+AT31+AT32+AT33</f>
        <v>0</v>
      </c>
      <c r="AU37" s="146">
        <f>AU18+AU30+AU31+AU32+AU33+AU34</f>
        <v>0</v>
      </c>
      <c r="AV37" s="146"/>
    </row>
    <row r="38" spans="1:48" ht="36.65" customHeight="1" thickTop="1" thickBot="1">
      <c r="A38" s="63"/>
      <c r="C38" s="444" t="s">
        <v>57</v>
      </c>
      <c r="D38" s="444" t="s">
        <v>58</v>
      </c>
      <c r="E38" s="140">
        <v>16</v>
      </c>
      <c r="F38" s="141">
        <v>17</v>
      </c>
      <c r="G38" s="141">
        <v>17</v>
      </c>
      <c r="H38" s="141">
        <v>17</v>
      </c>
      <c r="I38" s="142"/>
      <c r="J38" s="141">
        <v>17</v>
      </c>
      <c r="K38" s="141">
        <v>20</v>
      </c>
      <c r="L38" s="141">
        <v>23</v>
      </c>
      <c r="M38" s="141">
        <v>23</v>
      </c>
      <c r="N38" s="143"/>
      <c r="O38" s="141">
        <v>23</v>
      </c>
      <c r="P38" s="141">
        <v>22</v>
      </c>
      <c r="Q38" s="141">
        <v>22</v>
      </c>
      <c r="R38" s="141">
        <v>22</v>
      </c>
      <c r="S38" s="139"/>
      <c r="T38" s="141">
        <v>22</v>
      </c>
      <c r="U38" s="141">
        <v>22</v>
      </c>
      <c r="V38" s="141">
        <v>22</v>
      </c>
      <c r="W38" s="141">
        <v>22</v>
      </c>
      <c r="X38" s="139"/>
      <c r="Y38" s="141">
        <v>22</v>
      </c>
      <c r="Z38" s="141">
        <v>22</v>
      </c>
      <c r="AA38" s="141">
        <v>22</v>
      </c>
      <c r="AB38" s="141">
        <v>22</v>
      </c>
      <c r="AC38" s="139"/>
      <c r="AD38" s="141">
        <v>22</v>
      </c>
      <c r="AE38" s="141">
        <v>22</v>
      </c>
      <c r="AF38" s="141">
        <v>22</v>
      </c>
      <c r="AG38" s="141">
        <v>22</v>
      </c>
      <c r="AI38" s="141">
        <v>22</v>
      </c>
      <c r="AJ38" s="141">
        <v>22</v>
      </c>
      <c r="AK38" s="141">
        <v>22</v>
      </c>
      <c r="AL38" s="141">
        <v>23</v>
      </c>
      <c r="AN38" s="141">
        <v>23</v>
      </c>
      <c r="AO38" s="141">
        <v>23</v>
      </c>
      <c r="AP38" s="141">
        <v>23</v>
      </c>
      <c r="AQ38" s="141">
        <v>19</v>
      </c>
      <c r="AS38" s="141">
        <v>19</v>
      </c>
      <c r="AT38" s="141">
        <v>19</v>
      </c>
      <c r="AU38" s="141">
        <v>19</v>
      </c>
      <c r="AV38" s="141">
        <v>19</v>
      </c>
    </row>
    <row r="39" spans="1:48" ht="36.65" customHeight="1" thickTop="1">
      <c r="A39" s="63"/>
      <c r="C39" s="445" t="s">
        <v>59</v>
      </c>
      <c r="D39" s="445" t="s">
        <v>60</v>
      </c>
      <c r="E39" s="125"/>
      <c r="F39" s="125"/>
      <c r="G39" s="125"/>
      <c r="H39" s="125"/>
      <c r="I39" s="126"/>
      <c r="J39" s="125"/>
      <c r="K39" s="125"/>
      <c r="L39" s="125"/>
      <c r="M39" s="125"/>
      <c r="N39" s="126"/>
      <c r="O39" s="125"/>
      <c r="P39" s="125">
        <v>162</v>
      </c>
      <c r="Q39" s="125">
        <v>156</v>
      </c>
      <c r="R39" s="125">
        <v>135</v>
      </c>
      <c r="S39" s="127"/>
      <c r="T39" s="125">
        <v>167</v>
      </c>
      <c r="U39" s="125">
        <v>162</v>
      </c>
      <c r="V39" s="125">
        <v>150</v>
      </c>
      <c r="W39" s="125">
        <v>131</v>
      </c>
      <c r="X39" s="127"/>
      <c r="Y39" s="125">
        <v>127</v>
      </c>
      <c r="Z39" s="125">
        <v>109</v>
      </c>
      <c r="AA39" s="125" t="s">
        <v>28</v>
      </c>
      <c r="AB39" s="125" t="s">
        <v>28</v>
      </c>
      <c r="AC39" s="127"/>
      <c r="AD39" s="125"/>
      <c r="AE39" s="125"/>
      <c r="AF39" s="497" t="s">
        <v>28</v>
      </c>
      <c r="AG39" s="125" t="s">
        <v>28</v>
      </c>
      <c r="AI39" s="125"/>
      <c r="AJ39" s="125"/>
      <c r="AK39" s="497" t="s">
        <v>28</v>
      </c>
      <c r="AL39" s="125" t="s">
        <v>28</v>
      </c>
    </row>
    <row r="40" spans="1:48">
      <c r="F40" s="4"/>
      <c r="G40" s="4"/>
      <c r="H40" s="4"/>
      <c r="I40" s="5"/>
      <c r="N40" s="5"/>
      <c r="S40" s="5"/>
      <c r="X40" s="5"/>
      <c r="AC40" s="5"/>
      <c r="AF40" s="498"/>
      <c r="AK40" s="498"/>
    </row>
    <row r="41" spans="1:48">
      <c r="F41" s="4"/>
      <c r="G41" s="4"/>
      <c r="H41" s="4"/>
      <c r="I41" s="5"/>
      <c r="N41" s="5"/>
      <c r="S41" s="5"/>
      <c r="X41" s="5"/>
      <c r="AC41" s="5"/>
      <c r="AF41" s="498"/>
      <c r="AK41" s="498"/>
    </row>
    <row r="42" spans="1:48" ht="15" thickBot="1">
      <c r="C42" s="130" t="s">
        <v>61</v>
      </c>
      <c r="D42" s="130" t="s">
        <v>62</v>
      </c>
      <c r="E42" s="132" t="s">
        <v>63</v>
      </c>
      <c r="F42" s="132" t="s">
        <v>3</v>
      </c>
      <c r="G42" s="132" t="s">
        <v>4</v>
      </c>
      <c r="H42" s="132" t="s">
        <v>5</v>
      </c>
      <c r="I42" s="144"/>
      <c r="J42" s="132" t="s">
        <v>6</v>
      </c>
      <c r="K42" s="131">
        <v>44012</v>
      </c>
      <c r="L42" s="131">
        <v>43738</v>
      </c>
      <c r="M42" s="131">
        <v>43830</v>
      </c>
      <c r="N42" s="144"/>
      <c r="O42" s="131">
        <v>43921</v>
      </c>
      <c r="P42" s="131">
        <v>44012</v>
      </c>
      <c r="Q42" s="131">
        <v>44104</v>
      </c>
      <c r="R42" s="131">
        <v>44196</v>
      </c>
      <c r="S42" s="5"/>
      <c r="T42" s="131">
        <v>43951</v>
      </c>
      <c r="U42" s="131">
        <v>44043</v>
      </c>
      <c r="V42" s="131">
        <v>44135</v>
      </c>
      <c r="W42" s="131">
        <v>44227</v>
      </c>
      <c r="X42" s="5"/>
      <c r="Y42" s="131">
        <v>43951</v>
      </c>
      <c r="Z42" s="131">
        <f>Z2</f>
        <v>44408</v>
      </c>
      <c r="AA42" s="131">
        <f>AA2</f>
        <v>44500</v>
      </c>
      <c r="AB42" s="136">
        <v>44592</v>
      </c>
      <c r="AC42" s="5"/>
      <c r="AD42" s="131">
        <f>AD2</f>
        <v>44681</v>
      </c>
      <c r="AE42" s="131">
        <f>AE2</f>
        <v>44773</v>
      </c>
      <c r="AF42" s="131">
        <f>AF2</f>
        <v>44865</v>
      </c>
      <c r="AG42" s="131">
        <f>AG2</f>
        <v>44957</v>
      </c>
      <c r="AI42" s="131">
        <f>AI2</f>
        <v>45046</v>
      </c>
      <c r="AJ42" s="131">
        <f>AJ2</f>
        <v>45138</v>
      </c>
      <c r="AK42" s="131">
        <f>AK2</f>
        <v>45230</v>
      </c>
      <c r="AL42" s="131">
        <f>AL2</f>
        <v>45322</v>
      </c>
      <c r="AN42" s="131">
        <v>45412</v>
      </c>
      <c r="AO42" s="131">
        <v>45504</v>
      </c>
      <c r="AP42" s="131">
        <v>45596</v>
      </c>
      <c r="AQ42" s="131">
        <v>45688</v>
      </c>
      <c r="AS42" s="64">
        <v>45777</v>
      </c>
      <c r="AT42" s="28">
        <v>45869</v>
      </c>
      <c r="AU42" s="68">
        <v>45961</v>
      </c>
      <c r="AV42" s="29">
        <v>46053</v>
      </c>
    </row>
    <row r="43" spans="1:48" ht="23.15" customHeight="1" outlineLevel="2" thickTop="1">
      <c r="A43" s="612" t="s">
        <v>272</v>
      </c>
      <c r="B43" s="610" t="s">
        <v>7</v>
      </c>
      <c r="C43" s="42" t="s">
        <v>8</v>
      </c>
      <c r="D43" s="44" t="s">
        <v>9</v>
      </c>
      <c r="E43" s="46">
        <v>252293</v>
      </c>
      <c r="F43" s="46">
        <v>268063</v>
      </c>
      <c r="G43" s="46">
        <v>273867</v>
      </c>
      <c r="H43" s="46">
        <v>285782</v>
      </c>
      <c r="I43" s="446"/>
      <c r="J43" s="47">
        <v>288575</v>
      </c>
      <c r="K43" s="46">
        <v>299184</v>
      </c>
      <c r="L43" s="45">
        <v>305476</v>
      </c>
      <c r="M43" s="467">
        <v>312275</v>
      </c>
      <c r="N43" s="446"/>
      <c r="O43" s="47">
        <v>310754.54003000015</v>
      </c>
      <c r="P43" s="46">
        <v>313748.3600300001</v>
      </c>
      <c r="Q43" s="45">
        <v>315109.72003000014</v>
      </c>
      <c r="R43" s="47">
        <v>312538.65003000014</v>
      </c>
      <c r="S43" s="5"/>
      <c r="T43" s="47">
        <v>310498</v>
      </c>
      <c r="U43" s="47">
        <v>314304</v>
      </c>
      <c r="V43" s="47">
        <v>313760</v>
      </c>
      <c r="W43" s="47">
        <v>309493</v>
      </c>
      <c r="X43" s="5"/>
      <c r="Y43" s="47">
        <v>300174.77003000019</v>
      </c>
      <c r="Z43" s="47">
        <v>294323.80003000022</v>
      </c>
      <c r="AA43" s="47">
        <v>287198</v>
      </c>
      <c r="AB43" s="47">
        <v>278752.05003000022</v>
      </c>
      <c r="AC43" s="5"/>
      <c r="AD43" s="47">
        <v>281086.46003000025</v>
      </c>
      <c r="AE43" s="47">
        <v>282829</v>
      </c>
      <c r="AF43" s="47">
        <v>284629.37003000034</v>
      </c>
      <c r="AG43" s="47">
        <v>281929</v>
      </c>
      <c r="AI43" s="47">
        <v>280600</v>
      </c>
      <c r="AJ43" s="47">
        <v>280020</v>
      </c>
      <c r="AK43" s="47">
        <v>279987</v>
      </c>
      <c r="AL43" s="47">
        <v>279641</v>
      </c>
      <c r="AN43" s="47">
        <v>285820</v>
      </c>
      <c r="AO43" s="47">
        <v>286209</v>
      </c>
      <c r="AP43" s="47">
        <v>290986</v>
      </c>
      <c r="AQ43" s="47">
        <v>293843</v>
      </c>
      <c r="AS43" s="47">
        <v>300548</v>
      </c>
      <c r="AT43" s="47"/>
      <c r="AU43" s="47"/>
      <c r="AV43" s="47"/>
    </row>
    <row r="44" spans="1:48" ht="23.15" customHeight="1" outlineLevel="2">
      <c r="A44" s="612"/>
      <c r="B44" s="613"/>
      <c r="C44" s="42" t="s">
        <v>10</v>
      </c>
      <c r="D44" s="41" t="s">
        <v>11</v>
      </c>
      <c r="E44" s="46">
        <v>44589</v>
      </c>
      <c r="F44" s="46">
        <v>44989</v>
      </c>
      <c r="G44" s="46">
        <v>46827</v>
      </c>
      <c r="H44" s="46">
        <v>51497</v>
      </c>
      <c r="I44" s="447"/>
      <c r="J44" s="47">
        <v>51953</v>
      </c>
      <c r="K44" s="46">
        <v>53215</v>
      </c>
      <c r="L44" s="45">
        <v>53937</v>
      </c>
      <c r="M44" s="53">
        <v>56721</v>
      </c>
      <c r="N44" s="447"/>
      <c r="O44" s="47">
        <v>55512.56</v>
      </c>
      <c r="P44" s="46">
        <v>54664.56</v>
      </c>
      <c r="Q44" s="45">
        <v>54164.56</v>
      </c>
      <c r="R44" s="47">
        <v>54442.559999999998</v>
      </c>
      <c r="S44" s="5"/>
      <c r="T44" s="47">
        <v>55513</v>
      </c>
      <c r="U44" s="47">
        <v>54165</v>
      </c>
      <c r="V44" s="47">
        <v>54443</v>
      </c>
      <c r="W44" s="47">
        <v>53988</v>
      </c>
      <c r="X44" s="5"/>
      <c r="Y44" s="47">
        <v>53875.46</v>
      </c>
      <c r="Z44" s="47">
        <v>53097</v>
      </c>
      <c r="AA44" s="47">
        <v>53582</v>
      </c>
      <c r="AB44" s="47">
        <v>53263.75</v>
      </c>
      <c r="AC44" s="5"/>
      <c r="AD44" s="47">
        <v>52385.51</v>
      </c>
      <c r="AE44" s="47">
        <v>50046</v>
      </c>
      <c r="AF44" s="47">
        <v>50046.21</v>
      </c>
      <c r="AG44" s="47">
        <v>48507</v>
      </c>
      <c r="AI44" s="47">
        <v>48507</v>
      </c>
      <c r="AJ44" s="47">
        <v>48064</v>
      </c>
      <c r="AK44" s="47">
        <v>47959</v>
      </c>
      <c r="AL44" s="47">
        <v>47311.000000000007</v>
      </c>
      <c r="AN44" s="47">
        <v>45099</v>
      </c>
      <c r="AO44" s="47">
        <v>45099.000000000007</v>
      </c>
      <c r="AP44" s="47">
        <v>44162.000000000007</v>
      </c>
      <c r="AQ44" s="47">
        <v>45843</v>
      </c>
      <c r="AS44" s="47">
        <v>47599</v>
      </c>
      <c r="AT44" s="47"/>
      <c r="AU44" s="47"/>
      <c r="AV44" s="47"/>
    </row>
    <row r="45" spans="1:48" ht="23.15" customHeight="1" outlineLevel="2">
      <c r="A45" s="612"/>
      <c r="B45" s="613"/>
      <c r="C45" s="42" t="s">
        <v>12</v>
      </c>
      <c r="D45" s="41" t="s">
        <v>13</v>
      </c>
      <c r="E45" s="46">
        <v>46148</v>
      </c>
      <c r="F45" s="46">
        <v>47620</v>
      </c>
      <c r="G45" s="46">
        <v>51036</v>
      </c>
      <c r="H45" s="46">
        <v>51843</v>
      </c>
      <c r="I45" s="448"/>
      <c r="J45" s="47">
        <v>51945</v>
      </c>
      <c r="K45" s="46">
        <v>51835</v>
      </c>
      <c r="L45" s="45">
        <v>52898</v>
      </c>
      <c r="M45" s="53">
        <v>57197</v>
      </c>
      <c r="N45" s="448"/>
      <c r="O45" s="47">
        <v>56896.219999999994</v>
      </c>
      <c r="P45" s="46">
        <v>56473.219999999994</v>
      </c>
      <c r="Q45" s="45">
        <v>56725.979999999996</v>
      </c>
      <c r="R45" s="47">
        <v>57536.979999999996</v>
      </c>
      <c r="S45" s="5"/>
      <c r="T45" s="47">
        <v>56896</v>
      </c>
      <c r="U45" s="47">
        <v>56726</v>
      </c>
      <c r="V45" s="47">
        <v>57303</v>
      </c>
      <c r="W45" s="47">
        <v>57297</v>
      </c>
      <c r="X45" s="5"/>
      <c r="Y45" s="47">
        <v>57296.979999999996</v>
      </c>
      <c r="Z45" s="47">
        <v>54513</v>
      </c>
      <c r="AA45" s="47">
        <v>54980</v>
      </c>
      <c r="AB45" s="47">
        <v>54035.089999999989</v>
      </c>
      <c r="AC45" s="5"/>
      <c r="AD45" s="47">
        <v>54035.089999999989</v>
      </c>
      <c r="AE45" s="47">
        <v>52851</v>
      </c>
      <c r="AF45" s="47">
        <v>53451.489999999991</v>
      </c>
      <c r="AG45" s="47">
        <v>53543</v>
      </c>
      <c r="AI45" s="47">
        <v>53998.999999999993</v>
      </c>
      <c r="AJ45" s="47">
        <v>51219</v>
      </c>
      <c r="AK45" s="47">
        <v>48191</v>
      </c>
      <c r="AL45" s="47">
        <v>45602</v>
      </c>
      <c r="AN45" s="47">
        <v>44498</v>
      </c>
      <c r="AO45" s="47">
        <v>43649</v>
      </c>
      <c r="AP45" s="47">
        <v>43531</v>
      </c>
      <c r="AQ45" s="47">
        <v>43531</v>
      </c>
      <c r="AS45" s="47">
        <v>42364</v>
      </c>
      <c r="AT45" s="47"/>
      <c r="AU45" s="47"/>
      <c r="AV45" s="47"/>
    </row>
    <row r="46" spans="1:48" ht="23.15" customHeight="1" outlineLevel="2">
      <c r="A46" s="612"/>
      <c r="B46" s="613"/>
      <c r="C46" s="42" t="s">
        <v>14</v>
      </c>
      <c r="D46" s="41" t="s">
        <v>14</v>
      </c>
      <c r="E46" s="46">
        <v>27908</v>
      </c>
      <c r="F46" s="46">
        <v>28351</v>
      </c>
      <c r="G46" s="46">
        <v>30239</v>
      </c>
      <c r="H46" s="46">
        <v>30378</v>
      </c>
      <c r="I46" s="446"/>
      <c r="J46" s="47">
        <v>30268</v>
      </c>
      <c r="K46" s="46">
        <v>30368</v>
      </c>
      <c r="L46" s="45">
        <v>31510</v>
      </c>
      <c r="M46" s="53">
        <v>32410</v>
      </c>
      <c r="N46" s="446"/>
      <c r="O46" s="47">
        <v>32014.25</v>
      </c>
      <c r="P46" s="46">
        <v>32014.25</v>
      </c>
      <c r="Q46" s="45">
        <v>33108.400000000001</v>
      </c>
      <c r="R46" s="47">
        <v>33373.21</v>
      </c>
      <c r="S46" s="5"/>
      <c r="T46" s="47">
        <v>32014</v>
      </c>
      <c r="U46" s="47">
        <v>31562</v>
      </c>
      <c r="V46" s="47">
        <v>35289</v>
      </c>
      <c r="W46" s="47">
        <v>33373</v>
      </c>
      <c r="X46" s="5"/>
      <c r="Y46" s="47">
        <v>31907.21</v>
      </c>
      <c r="Z46" s="47">
        <v>20119</v>
      </c>
      <c r="AA46" s="47">
        <v>5064</v>
      </c>
      <c r="AB46" s="147" t="s">
        <v>28</v>
      </c>
      <c r="AC46" s="5"/>
      <c r="AD46" s="471" t="s">
        <v>28</v>
      </c>
      <c r="AE46" s="471" t="s">
        <v>28</v>
      </c>
      <c r="AF46" s="471" t="s">
        <v>28</v>
      </c>
      <c r="AG46" s="147">
        <v>0</v>
      </c>
      <c r="AI46" s="471">
        <v>0</v>
      </c>
      <c r="AJ46" s="471">
        <v>0</v>
      </c>
      <c r="AK46" s="471">
        <v>0</v>
      </c>
      <c r="AL46" s="147">
        <v>0</v>
      </c>
      <c r="AN46" s="471">
        <v>0</v>
      </c>
      <c r="AO46" s="471">
        <v>0</v>
      </c>
      <c r="AP46" s="471">
        <v>0</v>
      </c>
      <c r="AQ46" s="147"/>
      <c r="AS46" s="471"/>
      <c r="AT46" s="471"/>
      <c r="AU46" s="471"/>
      <c r="AV46" s="147"/>
    </row>
    <row r="47" spans="1:48" ht="23.15" customHeight="1" outlineLevel="2">
      <c r="A47" s="612"/>
      <c r="B47" s="613"/>
      <c r="C47" s="42" t="s">
        <v>15</v>
      </c>
      <c r="D47" s="41" t="s">
        <v>16</v>
      </c>
      <c r="E47" s="46">
        <v>29546</v>
      </c>
      <c r="F47" s="46">
        <v>29581</v>
      </c>
      <c r="G47" s="46">
        <v>30566</v>
      </c>
      <c r="H47" s="46">
        <v>31500</v>
      </c>
      <c r="I47" s="446"/>
      <c r="J47" s="47">
        <v>32170</v>
      </c>
      <c r="K47" s="46">
        <v>33702</v>
      </c>
      <c r="L47" s="45">
        <v>33702</v>
      </c>
      <c r="M47" s="53">
        <v>33702</v>
      </c>
      <c r="N47" s="446"/>
      <c r="O47" s="47">
        <v>33373.199999999997</v>
      </c>
      <c r="P47" s="46">
        <v>34148.449999999997</v>
      </c>
      <c r="Q47" s="45">
        <v>34148.449999999997</v>
      </c>
      <c r="R47" s="47">
        <v>35085.449999999997</v>
      </c>
      <c r="S47" s="5"/>
      <c r="T47" s="47">
        <v>33373</v>
      </c>
      <c r="U47" s="47">
        <v>34148</v>
      </c>
      <c r="V47" s="47">
        <v>35537</v>
      </c>
      <c r="W47" s="47">
        <v>35628</v>
      </c>
      <c r="X47" s="5"/>
      <c r="Y47" s="47">
        <v>36404.449999999997</v>
      </c>
      <c r="Z47" s="47">
        <v>34856</v>
      </c>
      <c r="AA47" s="47">
        <v>36198</v>
      </c>
      <c r="AB47" s="47">
        <v>34896.449999999997</v>
      </c>
      <c r="AC47" s="5"/>
      <c r="AD47" s="47">
        <v>34245.949999999997</v>
      </c>
      <c r="AE47" s="47">
        <v>34338</v>
      </c>
      <c r="AF47" s="47">
        <v>33182.799999999996</v>
      </c>
      <c r="AG47" s="47">
        <v>32628</v>
      </c>
      <c r="AI47" s="47">
        <v>32183</v>
      </c>
      <c r="AJ47" s="47">
        <v>31569</v>
      </c>
      <c r="AK47" s="47">
        <v>31569</v>
      </c>
      <c r="AL47" s="47">
        <v>30584</v>
      </c>
      <c r="AN47" s="47">
        <v>29559</v>
      </c>
      <c r="AO47" s="47">
        <v>29559</v>
      </c>
      <c r="AP47" s="47">
        <v>29559</v>
      </c>
      <c r="AQ47" s="47">
        <v>30068</v>
      </c>
      <c r="AS47" s="47">
        <v>30110</v>
      </c>
      <c r="AT47" s="47"/>
      <c r="AU47" s="47"/>
      <c r="AV47" s="47"/>
    </row>
    <row r="48" spans="1:48" ht="23.15" customHeight="1" outlineLevel="2">
      <c r="A48" s="612"/>
      <c r="B48" s="613"/>
      <c r="C48" s="42" t="s">
        <v>17</v>
      </c>
      <c r="D48" s="41" t="s">
        <v>18</v>
      </c>
      <c r="E48" s="46">
        <v>14018</v>
      </c>
      <c r="F48" s="46">
        <v>14018</v>
      </c>
      <c r="G48" s="46">
        <v>14018</v>
      </c>
      <c r="H48" s="46">
        <v>16061</v>
      </c>
      <c r="I48" s="447"/>
      <c r="J48" s="47">
        <v>16061</v>
      </c>
      <c r="K48" s="46">
        <v>17884</v>
      </c>
      <c r="L48" s="45">
        <v>18667</v>
      </c>
      <c r="M48" s="53">
        <v>19811</v>
      </c>
      <c r="N48" s="447"/>
      <c r="O48" s="47">
        <v>19811</v>
      </c>
      <c r="P48" s="46">
        <v>20602</v>
      </c>
      <c r="Q48" s="45">
        <v>21115</v>
      </c>
      <c r="R48" s="47">
        <v>20800</v>
      </c>
      <c r="S48" s="5"/>
      <c r="T48" s="47">
        <v>19811</v>
      </c>
      <c r="U48" s="47">
        <v>20602</v>
      </c>
      <c r="V48" s="47">
        <v>21115</v>
      </c>
      <c r="W48" s="47">
        <v>20800</v>
      </c>
      <c r="X48" s="5"/>
      <c r="Y48" s="47">
        <v>20287</v>
      </c>
      <c r="Z48" s="47">
        <v>20287</v>
      </c>
      <c r="AA48" s="47">
        <v>21525</v>
      </c>
      <c r="AB48" s="47">
        <v>21015.43</v>
      </c>
      <c r="AC48" s="5"/>
      <c r="AD48" s="47">
        <v>21015.43</v>
      </c>
      <c r="AE48" s="47">
        <v>21197</v>
      </c>
      <c r="AF48" s="47">
        <v>20624.43</v>
      </c>
      <c r="AG48" s="47">
        <v>20624</v>
      </c>
      <c r="AI48" s="47">
        <v>20624</v>
      </c>
      <c r="AJ48" s="47">
        <v>19342</v>
      </c>
      <c r="AK48" s="47">
        <v>18696</v>
      </c>
      <c r="AL48" s="47">
        <v>18125</v>
      </c>
      <c r="AN48" s="47">
        <v>18125</v>
      </c>
      <c r="AO48" s="47">
        <v>18125</v>
      </c>
      <c r="AP48" s="47">
        <v>18219</v>
      </c>
      <c r="AQ48" s="47">
        <v>18219</v>
      </c>
      <c r="AS48" s="47">
        <v>18219</v>
      </c>
      <c r="AT48" s="47"/>
      <c r="AU48" s="47"/>
      <c r="AV48" s="47"/>
    </row>
    <row r="49" spans="1:48" ht="23.15" customHeight="1" outlineLevel="2">
      <c r="A49" s="612"/>
      <c r="B49" s="613"/>
      <c r="C49" s="42" t="s">
        <v>19</v>
      </c>
      <c r="D49" s="41" t="s">
        <v>20</v>
      </c>
      <c r="E49" s="46">
        <v>16675</v>
      </c>
      <c r="F49" s="46">
        <v>18168</v>
      </c>
      <c r="G49" s="46">
        <v>20655</v>
      </c>
      <c r="H49" s="46">
        <v>28041</v>
      </c>
      <c r="I49" s="446"/>
      <c r="J49" s="47">
        <v>29925</v>
      </c>
      <c r="K49" s="46">
        <v>31683</v>
      </c>
      <c r="L49" s="45">
        <v>32663</v>
      </c>
      <c r="M49" s="53">
        <v>34212</v>
      </c>
      <c r="N49" s="446"/>
      <c r="O49" s="47">
        <v>34549.549999999996</v>
      </c>
      <c r="P49" s="46">
        <v>34371.549999999996</v>
      </c>
      <c r="Q49" s="45">
        <v>32295.519999999993</v>
      </c>
      <c r="R49" s="47">
        <v>34091.519999999997</v>
      </c>
      <c r="S49" s="5"/>
      <c r="T49" s="47">
        <v>34550</v>
      </c>
      <c r="U49" s="47">
        <v>33366</v>
      </c>
      <c r="V49" s="47">
        <v>32296</v>
      </c>
      <c r="W49" s="47">
        <v>31878</v>
      </c>
      <c r="X49" s="5"/>
      <c r="Y49" s="47">
        <v>29629.419999999991</v>
      </c>
      <c r="Z49" s="47">
        <v>27996</v>
      </c>
      <c r="AA49" s="47">
        <v>27391</v>
      </c>
      <c r="AB49" s="47">
        <v>27674.819999999992</v>
      </c>
      <c r="AC49" s="5"/>
      <c r="AD49" s="471" t="s">
        <v>28</v>
      </c>
      <c r="AE49" s="471" t="s">
        <v>28</v>
      </c>
      <c r="AF49" s="471" t="s">
        <v>28</v>
      </c>
      <c r="AG49" s="47">
        <v>0</v>
      </c>
      <c r="AI49" s="471">
        <v>0</v>
      </c>
      <c r="AJ49" s="471">
        <v>0</v>
      </c>
      <c r="AK49" s="471">
        <v>0</v>
      </c>
      <c r="AL49" s="47">
        <v>0</v>
      </c>
      <c r="AN49" s="471">
        <v>0</v>
      </c>
      <c r="AO49" s="471">
        <v>0</v>
      </c>
      <c r="AP49" s="471">
        <v>0</v>
      </c>
      <c r="AQ49" s="47"/>
      <c r="AS49" s="471"/>
      <c r="AT49" s="471"/>
      <c r="AU49" s="471"/>
      <c r="AV49" s="47"/>
    </row>
    <row r="50" spans="1:48" ht="23.15" customHeight="1" outlineLevel="2">
      <c r="A50" s="612"/>
      <c r="B50" s="613"/>
      <c r="C50" s="42" t="s">
        <v>21</v>
      </c>
      <c r="D50" s="41" t="s">
        <v>22</v>
      </c>
      <c r="E50" s="46">
        <v>7687</v>
      </c>
      <c r="F50" s="46">
        <v>7687</v>
      </c>
      <c r="G50" s="46">
        <v>8528</v>
      </c>
      <c r="H50" s="46">
        <v>8528</v>
      </c>
      <c r="I50" s="448"/>
      <c r="J50" s="47">
        <v>8528</v>
      </c>
      <c r="K50" s="46">
        <v>10900</v>
      </c>
      <c r="L50" s="45">
        <v>11484</v>
      </c>
      <c r="M50" s="53">
        <v>14508</v>
      </c>
      <c r="N50" s="448"/>
      <c r="O50" s="47">
        <v>14508</v>
      </c>
      <c r="P50" s="46">
        <v>14508</v>
      </c>
      <c r="Q50" s="45">
        <v>14828.84</v>
      </c>
      <c r="R50" s="47">
        <v>17012.84</v>
      </c>
      <c r="S50" s="5"/>
      <c r="T50" s="47">
        <v>14508</v>
      </c>
      <c r="U50" s="47">
        <v>14508</v>
      </c>
      <c r="V50" s="47">
        <v>17013</v>
      </c>
      <c r="W50" s="47">
        <v>17013</v>
      </c>
      <c r="X50" s="5"/>
      <c r="Y50" s="47">
        <v>14508</v>
      </c>
      <c r="Z50" s="47">
        <v>14508</v>
      </c>
      <c r="AA50" s="47">
        <v>13830</v>
      </c>
      <c r="AB50" s="47">
        <v>13830</v>
      </c>
      <c r="AC50" s="5"/>
      <c r="AD50" s="47">
        <v>12597.57</v>
      </c>
      <c r="AE50" s="47">
        <v>12589</v>
      </c>
      <c r="AF50" s="47">
        <v>12588.87</v>
      </c>
      <c r="AG50" s="47">
        <v>3515</v>
      </c>
      <c r="AI50" s="47">
        <v>11295</v>
      </c>
      <c r="AJ50" s="47">
        <v>11295</v>
      </c>
      <c r="AK50" s="47">
        <v>10396</v>
      </c>
      <c r="AL50" s="47">
        <v>9697</v>
      </c>
      <c r="AN50" s="47">
        <v>9697</v>
      </c>
      <c r="AO50" s="47">
        <v>9697</v>
      </c>
      <c r="AP50" s="47">
        <v>9697</v>
      </c>
      <c r="AQ50" s="47">
        <v>9697</v>
      </c>
      <c r="AS50" s="47">
        <v>9697</v>
      </c>
      <c r="AT50" s="47"/>
      <c r="AU50" s="47"/>
      <c r="AV50" s="47"/>
    </row>
    <row r="51" spans="1:48" ht="23.15" customHeight="1" outlineLevel="2">
      <c r="A51" s="612"/>
      <c r="B51" s="613"/>
      <c r="C51" s="42" t="s">
        <v>23</v>
      </c>
      <c r="D51" s="41" t="s">
        <v>24</v>
      </c>
      <c r="E51" s="46">
        <v>6562</v>
      </c>
      <c r="F51" s="46">
        <v>6562</v>
      </c>
      <c r="G51" s="46">
        <v>6562</v>
      </c>
      <c r="H51" s="46">
        <v>7430</v>
      </c>
      <c r="I51" s="446"/>
      <c r="J51" s="47">
        <v>8116</v>
      </c>
      <c r="K51" s="46">
        <v>9210</v>
      </c>
      <c r="L51" s="45">
        <v>10110</v>
      </c>
      <c r="M51" s="53">
        <v>11651</v>
      </c>
      <c r="N51" s="446"/>
      <c r="O51" s="47">
        <v>11651.38</v>
      </c>
      <c r="P51" s="46">
        <v>11651.38</v>
      </c>
      <c r="Q51" s="45">
        <v>11651.38</v>
      </c>
      <c r="R51" s="47">
        <v>12048.33</v>
      </c>
      <c r="S51" s="5"/>
      <c r="T51" s="47">
        <v>11651</v>
      </c>
      <c r="U51" s="47">
        <v>11651</v>
      </c>
      <c r="V51" s="47">
        <v>11651</v>
      </c>
      <c r="W51" s="47">
        <v>12048</v>
      </c>
      <c r="X51" s="5"/>
      <c r="Y51" s="47">
        <v>11651.38</v>
      </c>
      <c r="Z51" s="47">
        <v>11651</v>
      </c>
      <c r="AA51" s="47">
        <v>11651</v>
      </c>
      <c r="AB51" s="47">
        <v>11651.38</v>
      </c>
      <c r="AC51" s="5"/>
      <c r="AD51" s="47">
        <v>11651.38</v>
      </c>
      <c r="AE51" s="47">
        <v>11650</v>
      </c>
      <c r="AF51" s="47">
        <v>12064.279999999999</v>
      </c>
      <c r="AG51" s="47">
        <v>12976</v>
      </c>
      <c r="AI51" s="47">
        <v>12976</v>
      </c>
      <c r="AJ51" s="47">
        <v>12976</v>
      </c>
      <c r="AK51" s="47">
        <v>13528</v>
      </c>
      <c r="AL51" s="47">
        <v>13528</v>
      </c>
      <c r="AN51" s="47">
        <v>12509</v>
      </c>
      <c r="AO51" s="47">
        <v>12509</v>
      </c>
      <c r="AP51" s="47">
        <v>12620</v>
      </c>
      <c r="AQ51" s="47">
        <v>12324</v>
      </c>
      <c r="AS51" s="47">
        <v>12324</v>
      </c>
      <c r="AT51" s="47"/>
      <c r="AU51" s="47"/>
      <c r="AV51" s="47"/>
    </row>
    <row r="52" spans="1:48" ht="23.15" customHeight="1" outlineLevel="2">
      <c r="A52" s="612"/>
      <c r="B52" s="613"/>
      <c r="C52" s="42" t="s">
        <v>25</v>
      </c>
      <c r="D52" s="41" t="s">
        <v>25</v>
      </c>
      <c r="E52" s="46">
        <v>4078</v>
      </c>
      <c r="F52" s="46">
        <v>6061</v>
      </c>
      <c r="G52" s="46">
        <v>7382</v>
      </c>
      <c r="H52" s="46">
        <v>8237</v>
      </c>
      <c r="I52" s="446"/>
      <c r="J52" s="47">
        <v>8237</v>
      </c>
      <c r="K52" s="46">
        <v>9582</v>
      </c>
      <c r="L52" s="45">
        <v>11031</v>
      </c>
      <c r="M52" s="53">
        <v>11031</v>
      </c>
      <c r="N52" s="446"/>
      <c r="O52" s="47">
        <v>11031.050000000001</v>
      </c>
      <c r="P52" s="46">
        <v>11031.050000000001</v>
      </c>
      <c r="Q52" s="45">
        <v>11031.050000000001</v>
      </c>
      <c r="R52" s="47">
        <v>11496.050000000001</v>
      </c>
      <c r="S52" s="5"/>
      <c r="T52" s="47">
        <v>11031</v>
      </c>
      <c r="U52" s="47">
        <v>11031</v>
      </c>
      <c r="V52" s="47">
        <v>11496</v>
      </c>
      <c r="W52" s="47">
        <v>11031.050000000001</v>
      </c>
      <c r="X52" s="5"/>
      <c r="Y52" s="47">
        <v>11031.050000000001</v>
      </c>
      <c r="Z52" s="47">
        <v>11031</v>
      </c>
      <c r="AA52" s="47">
        <v>11056</v>
      </c>
      <c r="AB52" s="47">
        <v>11056.490000000002</v>
      </c>
      <c r="AC52" s="5"/>
      <c r="AD52" s="47">
        <v>11056.490000000002</v>
      </c>
      <c r="AE52" s="47">
        <v>11050</v>
      </c>
      <c r="AF52" s="47">
        <v>11050.490000000002</v>
      </c>
      <c r="AG52" s="47">
        <v>11050</v>
      </c>
      <c r="AI52" s="47">
        <v>10339</v>
      </c>
      <c r="AJ52" s="47">
        <v>8995</v>
      </c>
      <c r="AK52" s="47">
        <v>7618</v>
      </c>
      <c r="AL52" s="47">
        <v>7004</v>
      </c>
      <c r="AN52" s="47">
        <v>7004</v>
      </c>
      <c r="AO52" s="47">
        <v>7004</v>
      </c>
      <c r="AP52" s="47">
        <v>7004</v>
      </c>
      <c r="AQ52" s="47">
        <v>7004</v>
      </c>
      <c r="AS52" s="47">
        <v>7004</v>
      </c>
      <c r="AT52" s="47"/>
      <c r="AU52" s="47"/>
      <c r="AV52" s="47"/>
    </row>
    <row r="53" spans="1:48" ht="23.15" customHeight="1" outlineLevel="2">
      <c r="A53" s="612"/>
      <c r="B53" s="613"/>
      <c r="C53" s="42" t="s">
        <v>26</v>
      </c>
      <c r="D53" s="41" t="s">
        <v>27</v>
      </c>
      <c r="E53" s="46" t="s">
        <v>28</v>
      </c>
      <c r="F53" s="46">
        <v>28005</v>
      </c>
      <c r="G53" s="46">
        <v>29562</v>
      </c>
      <c r="H53" s="46">
        <v>34762</v>
      </c>
      <c r="I53" s="446"/>
      <c r="J53" s="47">
        <v>36060</v>
      </c>
      <c r="K53" s="46">
        <v>36160</v>
      </c>
      <c r="L53" s="45">
        <v>37572</v>
      </c>
      <c r="M53" s="53">
        <v>42921</v>
      </c>
      <c r="N53" s="446"/>
      <c r="O53" s="47">
        <v>42920.520000000004</v>
      </c>
      <c r="P53" s="46">
        <v>43667.520000000004</v>
      </c>
      <c r="Q53" s="45">
        <v>46870.020000000004</v>
      </c>
      <c r="R53" s="47">
        <v>48177.520000000004</v>
      </c>
      <c r="S53" s="5"/>
      <c r="T53" s="47">
        <v>42921</v>
      </c>
      <c r="U53" s="47">
        <v>44498</v>
      </c>
      <c r="V53" s="47">
        <v>47687</v>
      </c>
      <c r="W53" s="47">
        <v>47695.57</v>
      </c>
      <c r="X53" s="5"/>
      <c r="Y53" s="47">
        <v>48122</v>
      </c>
      <c r="Z53" s="47">
        <v>48122</v>
      </c>
      <c r="AA53" s="47">
        <v>48852</v>
      </c>
      <c r="AB53" s="47">
        <v>49898.39</v>
      </c>
      <c r="AC53" s="5"/>
      <c r="AD53" s="47">
        <v>49589.840000000004</v>
      </c>
      <c r="AE53" s="47">
        <v>48420</v>
      </c>
      <c r="AF53" s="47">
        <v>48928.12</v>
      </c>
      <c r="AG53" s="47">
        <v>48340</v>
      </c>
      <c r="AI53" s="47">
        <v>48456</v>
      </c>
      <c r="AJ53" s="47">
        <v>46133</v>
      </c>
      <c r="AK53" s="47">
        <v>46850</v>
      </c>
      <c r="AL53" s="47">
        <v>46155</v>
      </c>
      <c r="AN53" s="47">
        <v>46389</v>
      </c>
      <c r="AO53" s="47">
        <v>45534</v>
      </c>
      <c r="AP53" s="47">
        <v>46109</v>
      </c>
      <c r="AQ53" s="47">
        <v>46337</v>
      </c>
      <c r="AS53" s="47">
        <v>47540</v>
      </c>
      <c r="AT53" s="47"/>
      <c r="AU53" s="47"/>
      <c r="AV53" s="47"/>
    </row>
    <row r="54" spans="1:48" ht="23.15" customHeight="1" outlineLevel="2">
      <c r="A54" s="612"/>
      <c r="B54" s="613"/>
      <c r="C54" s="42" t="s">
        <v>31</v>
      </c>
      <c r="D54" s="41" t="s">
        <v>336</v>
      </c>
      <c r="E54" s="46"/>
      <c r="F54" s="46"/>
      <c r="G54" s="46"/>
      <c r="H54" s="46"/>
      <c r="I54" s="446"/>
      <c r="J54" s="47"/>
      <c r="K54" s="46"/>
      <c r="L54" s="45"/>
      <c r="M54" s="53"/>
      <c r="N54" s="446"/>
      <c r="O54" s="47"/>
      <c r="P54" s="46"/>
      <c r="Q54" s="45"/>
      <c r="R54" s="47"/>
      <c r="S54" s="5"/>
      <c r="T54" s="47"/>
      <c r="U54" s="47"/>
      <c r="V54" s="47"/>
      <c r="W54" s="47"/>
      <c r="X54" s="5"/>
      <c r="Y54" s="47"/>
      <c r="Z54" s="47"/>
      <c r="AA54" s="47"/>
      <c r="AB54" s="47"/>
      <c r="AC54" s="5"/>
      <c r="AD54" s="47"/>
      <c r="AE54" s="47">
        <v>4249</v>
      </c>
      <c r="AF54" s="47">
        <v>4248.88</v>
      </c>
      <c r="AG54" s="47">
        <v>4621</v>
      </c>
      <c r="AI54" s="47">
        <v>4445</v>
      </c>
      <c r="AJ54" s="47">
        <v>4445</v>
      </c>
      <c r="AK54" s="47">
        <v>4445</v>
      </c>
      <c r="AL54" s="47">
        <v>4192</v>
      </c>
      <c r="AN54" s="47">
        <v>4192</v>
      </c>
      <c r="AO54" s="47">
        <v>3582</v>
      </c>
      <c r="AP54" s="47">
        <v>3059</v>
      </c>
      <c r="AQ54" s="47">
        <v>3059</v>
      </c>
      <c r="AS54" s="47">
        <v>3059</v>
      </c>
      <c r="AT54" s="47"/>
      <c r="AU54" s="47"/>
      <c r="AV54" s="47"/>
    </row>
    <row r="55" spans="1:48" ht="23.15" customHeight="1" outlineLevel="2">
      <c r="A55" s="612"/>
      <c r="B55" s="613"/>
      <c r="C55" s="42" t="s">
        <v>33</v>
      </c>
      <c r="D55" s="41" t="s">
        <v>337</v>
      </c>
      <c r="E55" s="46"/>
      <c r="F55" s="46"/>
      <c r="G55" s="46"/>
      <c r="H55" s="46"/>
      <c r="I55" s="446"/>
      <c r="J55" s="47"/>
      <c r="K55" s="46"/>
      <c r="L55" s="45"/>
      <c r="M55" s="53"/>
      <c r="N55" s="446"/>
      <c r="O55" s="47"/>
      <c r="P55" s="46"/>
      <c r="Q55" s="45"/>
      <c r="R55" s="47"/>
      <c r="S55" s="5"/>
      <c r="T55" s="47"/>
      <c r="U55" s="47"/>
      <c r="V55" s="47"/>
      <c r="W55" s="47"/>
      <c r="X55" s="5"/>
      <c r="Y55" s="47"/>
      <c r="Z55" s="47"/>
      <c r="AA55" s="47"/>
      <c r="AB55" s="47"/>
      <c r="AC55" s="5"/>
      <c r="AD55" s="47"/>
      <c r="AE55" s="47">
        <v>1420</v>
      </c>
      <c r="AF55" s="47">
        <v>1420</v>
      </c>
      <c r="AG55" s="47">
        <v>2879</v>
      </c>
      <c r="AI55" s="47">
        <v>1420</v>
      </c>
      <c r="AJ55" s="47">
        <v>1420</v>
      </c>
      <c r="AK55" s="47">
        <v>1420</v>
      </c>
      <c r="AL55" s="47">
        <v>1481</v>
      </c>
      <c r="AN55" s="47">
        <v>2668</v>
      </c>
      <c r="AO55" s="47">
        <v>2668</v>
      </c>
      <c r="AP55" s="47">
        <v>2668</v>
      </c>
      <c r="AQ55" s="47">
        <v>2668</v>
      </c>
      <c r="AS55" s="47">
        <v>2668</v>
      </c>
      <c r="AT55" s="47"/>
      <c r="AU55" s="47"/>
      <c r="AV55" s="47"/>
    </row>
    <row r="56" spans="1:48" ht="23.15" customHeight="1" outlineLevel="2">
      <c r="A56" s="612"/>
      <c r="B56" s="613"/>
      <c r="C56" s="42" t="s">
        <v>35</v>
      </c>
      <c r="D56" s="41" t="s">
        <v>338</v>
      </c>
      <c r="E56" s="46"/>
      <c r="F56" s="46"/>
      <c r="G56" s="46"/>
      <c r="H56" s="45"/>
      <c r="I56" s="446"/>
      <c r="J56" s="47"/>
      <c r="K56" s="46"/>
      <c r="L56" s="45"/>
      <c r="M56" s="53"/>
      <c r="N56" s="446"/>
      <c r="O56" s="47"/>
      <c r="P56" s="46"/>
      <c r="Q56" s="45"/>
      <c r="R56" s="47"/>
      <c r="S56" s="5"/>
      <c r="T56" s="557"/>
      <c r="U56" s="557"/>
      <c r="V56" s="557"/>
      <c r="W56" s="47"/>
      <c r="X56" s="5"/>
      <c r="Y56" s="557"/>
      <c r="Z56" s="557"/>
      <c r="AA56" s="557"/>
      <c r="AB56" s="47"/>
      <c r="AC56" s="5"/>
      <c r="AD56" s="557"/>
      <c r="AE56" s="557">
        <v>2879</v>
      </c>
      <c r="AF56" s="557">
        <v>2879</v>
      </c>
      <c r="AG56" s="47">
        <v>1420</v>
      </c>
      <c r="AI56" s="557">
        <v>2879</v>
      </c>
      <c r="AJ56" s="557">
        <v>2879</v>
      </c>
      <c r="AK56" s="557">
        <v>2879</v>
      </c>
      <c r="AL56" s="47">
        <v>2948</v>
      </c>
      <c r="AN56" s="557">
        <v>2948</v>
      </c>
      <c r="AO56" s="557">
        <v>2948</v>
      </c>
      <c r="AP56" s="557">
        <v>3283</v>
      </c>
      <c r="AQ56" s="47">
        <v>3283</v>
      </c>
      <c r="AS56" s="557">
        <v>3283</v>
      </c>
      <c r="AT56" s="557"/>
      <c r="AU56" s="557"/>
      <c r="AV56" s="47"/>
    </row>
    <row r="57" spans="1:48" ht="23.15" customHeight="1" outlineLevel="2">
      <c r="A57" s="612"/>
      <c r="B57" s="611"/>
      <c r="C57" s="472" t="s">
        <v>29</v>
      </c>
      <c r="D57" s="43" t="s">
        <v>339</v>
      </c>
      <c r="E57" s="54"/>
      <c r="F57" s="48"/>
      <c r="G57" s="48"/>
      <c r="H57" s="49"/>
      <c r="I57" s="446"/>
      <c r="J57" s="50"/>
      <c r="K57" s="48"/>
      <c r="L57" s="83"/>
      <c r="M57" s="71"/>
      <c r="N57" s="446"/>
      <c r="O57" s="50"/>
      <c r="P57" s="48"/>
      <c r="Q57" s="83"/>
      <c r="R57" s="71"/>
      <c r="S57" s="5"/>
      <c r="T57" s="71"/>
      <c r="U57" s="71"/>
      <c r="V57" s="71"/>
      <c r="W57" s="71"/>
      <c r="X57" s="5"/>
      <c r="Y57" s="71"/>
      <c r="Z57" s="71"/>
      <c r="AA57" s="71"/>
      <c r="AB57" s="71"/>
      <c r="AC57" s="5"/>
      <c r="AD57" s="71"/>
      <c r="AE57" s="71">
        <v>2879</v>
      </c>
      <c r="AF57" s="71">
        <v>2879</v>
      </c>
      <c r="AG57" s="71">
        <v>0</v>
      </c>
      <c r="AI57" s="71">
        <v>9898</v>
      </c>
      <c r="AJ57" s="71">
        <v>9190</v>
      </c>
      <c r="AK57" s="71">
        <v>9190</v>
      </c>
      <c r="AL57" s="71">
        <v>9788</v>
      </c>
      <c r="AN57" s="71">
        <v>9829</v>
      </c>
      <c r="AO57" s="71">
        <v>9700</v>
      </c>
      <c r="AP57" s="71">
        <v>9057</v>
      </c>
      <c r="AQ57" s="71">
        <v>8298</v>
      </c>
      <c r="AS57" s="71">
        <v>8678</v>
      </c>
      <c r="AT57" s="71"/>
      <c r="AU57" s="71"/>
      <c r="AV57" s="71"/>
    </row>
    <row r="58" spans="1:48" ht="15.9" outlineLevel="1">
      <c r="A58" s="612"/>
      <c r="C58" s="423" t="s">
        <v>273</v>
      </c>
      <c r="D58" s="424" t="s">
        <v>274</v>
      </c>
      <c r="E58" s="449">
        <f>SUM(E43:E53)</f>
        <v>449504</v>
      </c>
      <c r="F58" s="449">
        <f t="shared" ref="F58:M58" si="0">SUM(F43:F53)</f>
        <v>499105</v>
      </c>
      <c r="G58" s="449">
        <f t="shared" si="0"/>
        <v>519242</v>
      </c>
      <c r="H58" s="449">
        <f t="shared" si="0"/>
        <v>554059</v>
      </c>
      <c r="I58" s="450"/>
      <c r="J58" s="451">
        <f t="shared" si="0"/>
        <v>561838</v>
      </c>
      <c r="K58" s="451">
        <f t="shared" si="0"/>
        <v>583723</v>
      </c>
      <c r="L58" s="451">
        <f t="shared" si="0"/>
        <v>599050</v>
      </c>
      <c r="M58" s="451">
        <f t="shared" si="0"/>
        <v>626439</v>
      </c>
      <c r="N58" s="450"/>
      <c r="O58" s="451">
        <f>SUM(O43:O53)</f>
        <v>623022.27003000025</v>
      </c>
      <c r="P58" s="451">
        <f t="shared" ref="P58:R58" si="1">SUM(P43:P53)</f>
        <v>626880.3400300002</v>
      </c>
      <c r="Q58" s="451">
        <f t="shared" si="1"/>
        <v>631048.92003000015</v>
      </c>
      <c r="R58" s="451">
        <f t="shared" si="1"/>
        <v>636603.1100300001</v>
      </c>
      <c r="S58" s="5"/>
      <c r="T58" s="451">
        <f t="shared" ref="T58:W58" si="2">SUM(T43:T53)</f>
        <v>622766</v>
      </c>
      <c r="U58" s="451">
        <f t="shared" si="2"/>
        <v>626561</v>
      </c>
      <c r="V58" s="451">
        <f t="shared" si="2"/>
        <v>637590</v>
      </c>
      <c r="W58" s="451">
        <f t="shared" si="2"/>
        <v>630244.62</v>
      </c>
      <c r="X58" s="5"/>
      <c r="Y58" s="451">
        <f t="shared" ref="Y58" si="3">SUM(Y43:Y53)</f>
        <v>614887.72003000032</v>
      </c>
      <c r="Z58" s="451">
        <f>SUM(Z43:Z53)</f>
        <v>590503.80003000028</v>
      </c>
      <c r="AA58" s="451">
        <f>SUM(AA43:AA53)</f>
        <v>571327</v>
      </c>
      <c r="AB58" s="451">
        <f>SUM(AB43:AB53)</f>
        <v>556073.85003000021</v>
      </c>
      <c r="AC58" s="5"/>
      <c r="AD58" s="451">
        <f>SUM(AD43:AD53)</f>
        <v>527663.7200300002</v>
      </c>
      <c r="AE58" s="451">
        <v>533518</v>
      </c>
      <c r="AF58" s="451">
        <f>SUM(AF43:AF57)</f>
        <v>537992.94003000029</v>
      </c>
      <c r="AG58" s="451">
        <v>530280</v>
      </c>
      <c r="AI58" s="451">
        <f>SUM(AI43:AI57)</f>
        <v>537621</v>
      </c>
      <c r="AJ58" s="451">
        <f>SUM(AJ43:AJ57)</f>
        <v>527547</v>
      </c>
      <c r="AK58" s="451">
        <f>SUM(AK43:AK57)</f>
        <v>522728</v>
      </c>
      <c r="AL58" s="451">
        <f>SUM(AL43:AL57)</f>
        <v>516056</v>
      </c>
      <c r="AN58" s="451">
        <f>SUM(AN43:AN57)</f>
        <v>518337</v>
      </c>
      <c r="AO58" s="451">
        <f>SUM(AO43:AO57)</f>
        <v>516283</v>
      </c>
      <c r="AP58" s="451">
        <f>SUM(AP43:AP57)</f>
        <v>519954</v>
      </c>
      <c r="AQ58" s="451">
        <v>524174</v>
      </c>
      <c r="AS58" s="451">
        <f>SUM(AS43:AS57)</f>
        <v>533093</v>
      </c>
      <c r="AT58" s="451">
        <f>SUM(AT43:AT57)</f>
        <v>0</v>
      </c>
      <c r="AU58" s="451">
        <f>SUM(AU43:AU57)</f>
        <v>0</v>
      </c>
      <c r="AV58" s="451"/>
    </row>
    <row r="59" spans="1:48" ht="23.15" customHeight="1" outlineLevel="2">
      <c r="A59" s="612"/>
      <c r="B59" s="610"/>
      <c r="C59" s="42" t="s">
        <v>29</v>
      </c>
      <c r="D59" s="41" t="s">
        <v>30</v>
      </c>
      <c r="E59" s="453">
        <v>3827</v>
      </c>
      <c r="F59" s="453">
        <v>5027</v>
      </c>
      <c r="G59" s="453">
        <v>5840</v>
      </c>
      <c r="H59" s="453">
        <v>7147</v>
      </c>
      <c r="I59" s="454"/>
      <c r="J59" s="453">
        <v>7147</v>
      </c>
      <c r="K59" s="453">
        <v>8088</v>
      </c>
      <c r="L59" s="453">
        <v>10590</v>
      </c>
      <c r="M59" s="453">
        <v>11754</v>
      </c>
      <c r="N59" s="455"/>
      <c r="O59" s="453">
        <v>11754.32</v>
      </c>
      <c r="P59" s="453">
        <v>12848.32</v>
      </c>
      <c r="Q59" s="453">
        <v>12848.32</v>
      </c>
      <c r="R59" s="453">
        <v>12848.32</v>
      </c>
      <c r="S59" s="5"/>
      <c r="T59" s="453">
        <v>12848</v>
      </c>
      <c r="U59" s="453">
        <v>12848</v>
      </c>
      <c r="V59" s="453">
        <v>12848</v>
      </c>
      <c r="W59" s="453">
        <v>12336</v>
      </c>
      <c r="X59" s="5"/>
      <c r="Y59" s="453">
        <v>12336.32</v>
      </c>
      <c r="Z59" s="453">
        <v>12336</v>
      </c>
      <c r="AA59" s="453">
        <v>12371</v>
      </c>
      <c r="AB59" s="453">
        <v>11613.36</v>
      </c>
      <c r="AC59" s="5"/>
      <c r="AD59" s="453">
        <v>10569.36</v>
      </c>
      <c r="AE59" s="473">
        <v>10552</v>
      </c>
      <c r="AF59" s="473">
        <v>10649.279999999999</v>
      </c>
      <c r="AG59" s="453">
        <v>9415</v>
      </c>
      <c r="AI59" s="473">
        <v>0</v>
      </c>
      <c r="AJ59" s="473">
        <v>0</v>
      </c>
      <c r="AK59" s="473">
        <v>0</v>
      </c>
      <c r="AL59" s="453">
        <v>0</v>
      </c>
      <c r="AN59" s="473">
        <v>0</v>
      </c>
      <c r="AO59" s="473">
        <v>0</v>
      </c>
      <c r="AP59" s="473">
        <v>0</v>
      </c>
      <c r="AQ59" s="453"/>
      <c r="AS59" s="473"/>
      <c r="AT59" s="473"/>
      <c r="AU59" s="473"/>
      <c r="AV59" s="453"/>
    </row>
    <row r="60" spans="1:48" ht="23.15" customHeight="1" outlineLevel="2">
      <c r="A60" s="612"/>
      <c r="B60" s="613"/>
      <c r="C60" s="42" t="s">
        <v>31</v>
      </c>
      <c r="D60" s="41" t="s">
        <v>32</v>
      </c>
      <c r="E60" s="456">
        <v>4409</v>
      </c>
      <c r="F60" s="456">
        <v>4409</v>
      </c>
      <c r="G60" s="456">
        <v>4409</v>
      </c>
      <c r="H60" s="456">
        <v>4409</v>
      </c>
      <c r="I60" s="452"/>
      <c r="J60" s="456">
        <v>4409</v>
      </c>
      <c r="K60" s="456">
        <v>4409</v>
      </c>
      <c r="L60" s="456">
        <v>4409</v>
      </c>
      <c r="M60" s="456">
        <v>4409</v>
      </c>
      <c r="N60" s="452"/>
      <c r="O60" s="456">
        <v>4408.5</v>
      </c>
      <c r="P60" s="456">
        <v>4408.5</v>
      </c>
      <c r="Q60" s="456">
        <v>4408.5</v>
      </c>
      <c r="R60" s="456">
        <v>4558.88</v>
      </c>
      <c r="S60" s="5"/>
      <c r="T60" s="456">
        <v>4409</v>
      </c>
      <c r="U60" s="456">
        <v>4409</v>
      </c>
      <c r="V60" s="456">
        <v>4409</v>
      </c>
      <c r="W60" s="456">
        <v>4559</v>
      </c>
      <c r="X60" s="5"/>
      <c r="Y60" s="456">
        <v>4558.88</v>
      </c>
      <c r="Z60" s="456">
        <v>4559</v>
      </c>
      <c r="AA60" s="456">
        <v>4558.88</v>
      </c>
      <c r="AB60" s="456">
        <v>4558.88</v>
      </c>
      <c r="AC60" s="5"/>
      <c r="AD60" s="456">
        <v>4248.88</v>
      </c>
      <c r="AE60" s="474" t="s">
        <v>28</v>
      </c>
      <c r="AF60" s="499" t="s">
        <v>28</v>
      </c>
      <c r="AG60" s="456">
        <v>0</v>
      </c>
      <c r="AI60" s="456">
        <v>0</v>
      </c>
      <c r="AJ60" s="474">
        <v>0</v>
      </c>
      <c r="AK60" s="499">
        <v>0</v>
      </c>
      <c r="AL60" s="572">
        <v>0</v>
      </c>
      <c r="AN60" s="456">
        <v>0</v>
      </c>
      <c r="AO60" s="474">
        <v>0</v>
      </c>
      <c r="AP60" s="499">
        <v>0</v>
      </c>
      <c r="AQ60" s="572"/>
      <c r="AS60" s="456"/>
      <c r="AT60" s="474"/>
      <c r="AU60" s="499"/>
      <c r="AV60" s="572"/>
    </row>
    <row r="61" spans="1:48" ht="23.15" customHeight="1" outlineLevel="2">
      <c r="A61" s="612"/>
      <c r="B61" s="613"/>
      <c r="C61" s="42" t="s">
        <v>33</v>
      </c>
      <c r="D61" s="41" t="s">
        <v>34</v>
      </c>
      <c r="E61" s="456">
        <v>2657</v>
      </c>
      <c r="F61" s="456">
        <v>2657</v>
      </c>
      <c r="G61" s="456">
        <v>2657</v>
      </c>
      <c r="H61" s="456">
        <v>2657</v>
      </c>
      <c r="I61" s="452"/>
      <c r="J61" s="456">
        <v>2657</v>
      </c>
      <c r="K61" s="456">
        <v>2657</v>
      </c>
      <c r="L61" s="456">
        <v>2657</v>
      </c>
      <c r="M61" s="456">
        <v>2657</v>
      </c>
      <c r="N61" s="452"/>
      <c r="O61" s="456">
        <v>2657</v>
      </c>
      <c r="P61" s="456">
        <v>2657</v>
      </c>
      <c r="Q61" s="456">
        <v>2657</v>
      </c>
      <c r="R61" s="456">
        <v>2020</v>
      </c>
      <c r="S61" s="5"/>
      <c r="T61" s="456">
        <v>2657</v>
      </c>
      <c r="U61" s="456">
        <v>2657</v>
      </c>
      <c r="V61" s="456">
        <v>2020</v>
      </c>
      <c r="W61" s="456">
        <v>2020</v>
      </c>
      <c r="X61" s="5"/>
      <c r="Y61" s="456">
        <v>2020</v>
      </c>
      <c r="Z61" s="456">
        <v>2020</v>
      </c>
      <c r="AA61" s="456">
        <v>2020</v>
      </c>
      <c r="AB61" s="456">
        <v>2020</v>
      </c>
      <c r="AC61" s="5"/>
      <c r="AD61" s="456">
        <v>2020</v>
      </c>
      <c r="AE61" s="474" t="s">
        <v>28</v>
      </c>
      <c r="AF61" s="499" t="s">
        <v>28</v>
      </c>
      <c r="AG61" s="456">
        <v>0</v>
      </c>
      <c r="AI61" s="456">
        <v>0</v>
      </c>
      <c r="AJ61" s="474">
        <v>0</v>
      </c>
      <c r="AK61" s="499">
        <v>0</v>
      </c>
      <c r="AL61" s="572">
        <v>0</v>
      </c>
      <c r="AN61" s="456">
        <v>0</v>
      </c>
      <c r="AO61" s="474">
        <v>0</v>
      </c>
      <c r="AP61" s="499">
        <v>0</v>
      </c>
      <c r="AQ61" s="572"/>
      <c r="AS61" s="456"/>
      <c r="AT61" s="474"/>
      <c r="AU61" s="499"/>
      <c r="AV61" s="572"/>
    </row>
    <row r="62" spans="1:48" ht="23.15" customHeight="1" outlineLevel="2">
      <c r="A62" s="612"/>
      <c r="B62" s="613"/>
      <c r="C62" s="42" t="s">
        <v>35</v>
      </c>
      <c r="D62" s="44" t="s">
        <v>35</v>
      </c>
      <c r="E62" s="456">
        <v>724</v>
      </c>
      <c r="F62" s="456">
        <v>1774</v>
      </c>
      <c r="G62" s="456">
        <v>1774</v>
      </c>
      <c r="H62" s="456">
        <v>2629</v>
      </c>
      <c r="I62" s="452"/>
      <c r="J62" s="456">
        <v>2629</v>
      </c>
      <c r="K62" s="456">
        <v>2629</v>
      </c>
      <c r="L62" s="456">
        <v>2629</v>
      </c>
      <c r="M62" s="456">
        <v>3734</v>
      </c>
      <c r="N62" s="452"/>
      <c r="O62" s="456">
        <v>3734</v>
      </c>
      <c r="P62" s="456">
        <v>3734</v>
      </c>
      <c r="Q62" s="456">
        <v>2879</v>
      </c>
      <c r="R62" s="456">
        <v>2879</v>
      </c>
      <c r="S62" s="5"/>
      <c r="T62" s="456">
        <v>3734</v>
      </c>
      <c r="U62" s="456">
        <v>3734</v>
      </c>
      <c r="V62" s="456">
        <v>2879</v>
      </c>
      <c r="W62" s="456">
        <v>2879</v>
      </c>
      <c r="X62" s="5"/>
      <c r="Y62" s="456">
        <v>2879</v>
      </c>
      <c r="Z62" s="456">
        <v>2879</v>
      </c>
      <c r="AA62" s="456">
        <v>2879</v>
      </c>
      <c r="AB62" s="456">
        <v>2879</v>
      </c>
      <c r="AC62" s="5"/>
      <c r="AD62" s="456">
        <v>2879</v>
      </c>
      <c r="AE62" s="474" t="s">
        <v>28</v>
      </c>
      <c r="AF62" s="499" t="s">
        <v>28</v>
      </c>
      <c r="AG62" s="456">
        <v>0</v>
      </c>
      <c r="AI62" s="456">
        <v>0</v>
      </c>
      <c r="AJ62" s="474">
        <v>0</v>
      </c>
      <c r="AK62" s="499">
        <v>0</v>
      </c>
      <c r="AL62" s="572">
        <v>0</v>
      </c>
      <c r="AN62" s="456">
        <v>0</v>
      </c>
      <c r="AO62" s="474">
        <v>0</v>
      </c>
      <c r="AP62" s="499">
        <v>0</v>
      </c>
      <c r="AQ62" s="572"/>
      <c r="AS62" s="456"/>
      <c r="AT62" s="474"/>
      <c r="AU62" s="499"/>
      <c r="AV62" s="572"/>
    </row>
    <row r="63" spans="1:48" ht="23.15" customHeight="1" outlineLevel="2">
      <c r="A63" s="612"/>
      <c r="B63" s="613"/>
      <c r="C63" s="42" t="s">
        <v>36</v>
      </c>
      <c r="D63" s="44" t="s">
        <v>37</v>
      </c>
      <c r="E63" s="456">
        <v>740</v>
      </c>
      <c r="F63" s="456">
        <v>740</v>
      </c>
      <c r="G63" s="456">
        <v>740</v>
      </c>
      <c r="H63" s="456">
        <v>740</v>
      </c>
      <c r="I63" s="452"/>
      <c r="J63" s="456">
        <v>740</v>
      </c>
      <c r="K63" s="456">
        <v>740</v>
      </c>
      <c r="L63" s="456">
        <v>740</v>
      </c>
      <c r="M63" s="456">
        <v>740</v>
      </c>
      <c r="N63" s="452"/>
      <c r="O63" s="456">
        <v>740</v>
      </c>
      <c r="P63" s="456">
        <v>740</v>
      </c>
      <c r="Q63" s="456">
        <v>740</v>
      </c>
      <c r="R63" s="456">
        <v>740</v>
      </c>
      <c r="S63" s="5"/>
      <c r="T63" s="456">
        <v>740</v>
      </c>
      <c r="U63" s="456">
        <v>740</v>
      </c>
      <c r="V63" s="456">
        <v>740</v>
      </c>
      <c r="W63" s="456">
        <v>740</v>
      </c>
      <c r="X63" s="5"/>
      <c r="Y63" s="456">
        <v>740</v>
      </c>
      <c r="Z63" s="456">
        <v>740</v>
      </c>
      <c r="AA63" s="456">
        <v>740</v>
      </c>
      <c r="AB63" s="456">
        <v>740</v>
      </c>
      <c r="AC63" s="5"/>
      <c r="AD63" s="456">
        <v>740</v>
      </c>
      <c r="AE63" s="456">
        <v>740</v>
      </c>
      <c r="AF63" s="499">
        <v>740</v>
      </c>
      <c r="AG63" s="456">
        <v>740</v>
      </c>
      <c r="AI63" s="456">
        <v>740</v>
      </c>
      <c r="AJ63" s="456">
        <v>740</v>
      </c>
      <c r="AK63" s="499">
        <v>740</v>
      </c>
      <c r="AL63" s="456">
        <v>740</v>
      </c>
      <c r="AN63" s="456">
        <v>740</v>
      </c>
      <c r="AO63" s="456">
        <v>740</v>
      </c>
      <c r="AP63" s="499">
        <v>740</v>
      </c>
      <c r="AQ63" s="456">
        <v>740</v>
      </c>
      <c r="AS63" s="456">
        <v>740</v>
      </c>
      <c r="AT63" s="456"/>
      <c r="AU63" s="499"/>
      <c r="AV63" s="456"/>
    </row>
    <row r="64" spans="1:48" ht="23.15" customHeight="1" outlineLevel="2">
      <c r="A64" s="612"/>
      <c r="B64" s="613"/>
      <c r="C64" s="42" t="s">
        <v>38</v>
      </c>
      <c r="D64" s="44" t="s">
        <v>39</v>
      </c>
      <c r="E64" s="456" t="s">
        <v>28</v>
      </c>
      <c r="F64" s="456" t="s">
        <v>28</v>
      </c>
      <c r="G64" s="456" t="s">
        <v>28</v>
      </c>
      <c r="H64" s="456" t="s">
        <v>28</v>
      </c>
      <c r="I64" s="452"/>
      <c r="J64" s="456" t="s">
        <v>28</v>
      </c>
      <c r="K64" s="456">
        <v>1048</v>
      </c>
      <c r="L64" s="456">
        <v>1958</v>
      </c>
      <c r="M64" s="456">
        <v>1958</v>
      </c>
      <c r="N64" s="452"/>
      <c r="O64" s="456">
        <v>1958</v>
      </c>
      <c r="P64" s="456">
        <v>1957.58</v>
      </c>
      <c r="Q64" s="456">
        <v>1957.58</v>
      </c>
      <c r="R64" s="456">
        <v>1957.58</v>
      </c>
      <c r="S64" s="5"/>
      <c r="T64" s="456">
        <v>1958</v>
      </c>
      <c r="U64" s="456">
        <v>1958</v>
      </c>
      <c r="V64" s="456">
        <v>1958</v>
      </c>
      <c r="W64" s="456">
        <v>1958</v>
      </c>
      <c r="X64" s="5"/>
      <c r="Y64" s="456">
        <v>1957.58</v>
      </c>
      <c r="Z64" s="456">
        <v>1958</v>
      </c>
      <c r="AA64" s="456">
        <v>1957.58</v>
      </c>
      <c r="AB64" s="456">
        <v>1957.58</v>
      </c>
      <c r="AC64" s="5"/>
      <c r="AD64" s="456">
        <v>1957.58</v>
      </c>
      <c r="AE64" s="456">
        <v>1958</v>
      </c>
      <c r="AF64" s="499">
        <v>1957.58</v>
      </c>
      <c r="AG64" s="456">
        <v>1958</v>
      </c>
      <c r="AI64" s="456">
        <v>1958</v>
      </c>
      <c r="AJ64" s="456">
        <v>1958</v>
      </c>
      <c r="AK64" s="499">
        <v>1958</v>
      </c>
      <c r="AL64" s="456">
        <v>1958</v>
      </c>
      <c r="AN64" s="456">
        <v>1958</v>
      </c>
      <c r="AO64" s="456">
        <v>1958</v>
      </c>
      <c r="AP64" s="499">
        <v>1958</v>
      </c>
      <c r="AQ64" s="456">
        <v>1958</v>
      </c>
      <c r="AS64" s="456">
        <v>1958</v>
      </c>
      <c r="AT64" s="456"/>
      <c r="AU64" s="499"/>
      <c r="AV64" s="456"/>
    </row>
    <row r="65" spans="1:48" ht="23.15" customHeight="1" outlineLevel="2">
      <c r="A65" s="612"/>
      <c r="B65" s="613"/>
      <c r="C65" s="42" t="s">
        <v>40</v>
      </c>
      <c r="D65" s="44" t="s">
        <v>41</v>
      </c>
      <c r="E65" s="456" t="s">
        <v>28</v>
      </c>
      <c r="F65" s="456" t="s">
        <v>28</v>
      </c>
      <c r="G65" s="456" t="s">
        <v>28</v>
      </c>
      <c r="H65" s="456" t="s">
        <v>28</v>
      </c>
      <c r="I65" s="452"/>
      <c r="J65" s="456" t="s">
        <v>28</v>
      </c>
      <c r="K65" s="456">
        <v>1002</v>
      </c>
      <c r="L65" s="456">
        <v>1002</v>
      </c>
      <c r="M65" s="456">
        <v>1002</v>
      </c>
      <c r="N65" s="452"/>
      <c r="O65" s="456">
        <v>1002</v>
      </c>
      <c r="P65" s="456">
        <v>1001.96</v>
      </c>
      <c r="Q65" s="456">
        <v>1001.96</v>
      </c>
      <c r="R65" s="456">
        <v>1001.96</v>
      </c>
      <c r="S65" s="5"/>
      <c r="T65" s="456">
        <v>1002</v>
      </c>
      <c r="U65" s="456">
        <v>1002</v>
      </c>
      <c r="V65" s="456">
        <v>1002</v>
      </c>
      <c r="W65" s="456">
        <v>1002</v>
      </c>
      <c r="X65" s="5"/>
      <c r="Y65" s="456">
        <v>1001.96</v>
      </c>
      <c r="Z65" s="456">
        <v>1002</v>
      </c>
      <c r="AA65" s="456">
        <v>1001.96</v>
      </c>
      <c r="AB65" s="456">
        <v>1001.96</v>
      </c>
      <c r="AC65" s="5"/>
      <c r="AD65" s="456">
        <v>1001.96</v>
      </c>
      <c r="AE65" s="456">
        <v>1002</v>
      </c>
      <c r="AF65" s="499">
        <v>1001.96</v>
      </c>
      <c r="AG65" s="456">
        <v>1002</v>
      </c>
      <c r="AI65" s="456">
        <v>1002</v>
      </c>
      <c r="AJ65" s="456">
        <v>1002</v>
      </c>
      <c r="AK65" s="456">
        <v>1002</v>
      </c>
      <c r="AL65" s="456">
        <v>0</v>
      </c>
      <c r="AN65" s="456">
        <v>0</v>
      </c>
      <c r="AO65" s="456">
        <v>0</v>
      </c>
      <c r="AP65" s="456">
        <v>0</v>
      </c>
      <c r="AQ65" s="456"/>
      <c r="AS65" s="456"/>
      <c r="AT65" s="456"/>
      <c r="AU65" s="456"/>
      <c r="AV65" s="456"/>
    </row>
    <row r="66" spans="1:48" ht="23.15" customHeight="1" outlineLevel="2">
      <c r="A66" s="612"/>
      <c r="B66" s="613"/>
      <c r="C66" s="42" t="s">
        <v>42</v>
      </c>
      <c r="D66" s="44" t="s">
        <v>43</v>
      </c>
      <c r="E66" s="456" t="s">
        <v>28</v>
      </c>
      <c r="F66" s="456" t="s">
        <v>28</v>
      </c>
      <c r="G66" s="456" t="s">
        <v>28</v>
      </c>
      <c r="H66" s="456" t="s">
        <v>28</v>
      </c>
      <c r="I66" s="452"/>
      <c r="J66" s="456" t="s">
        <v>28</v>
      </c>
      <c r="K66" s="456">
        <v>1521</v>
      </c>
      <c r="L66" s="456">
        <v>3347</v>
      </c>
      <c r="M66" s="456">
        <v>4082</v>
      </c>
      <c r="N66" s="452"/>
      <c r="O66" s="456">
        <v>4852.76</v>
      </c>
      <c r="P66" s="456">
        <v>4852.76</v>
      </c>
      <c r="Q66" s="456">
        <v>4852.76</v>
      </c>
      <c r="R66" s="456">
        <v>4852.76</v>
      </c>
      <c r="S66" s="5"/>
      <c r="T66" s="456">
        <v>4853</v>
      </c>
      <c r="U66" s="456">
        <v>4853</v>
      </c>
      <c r="V66" s="456">
        <v>4853</v>
      </c>
      <c r="W66" s="456">
        <v>4853</v>
      </c>
      <c r="X66" s="5"/>
      <c r="Y66" s="456">
        <v>4852.76</v>
      </c>
      <c r="Z66" s="456">
        <v>4853</v>
      </c>
      <c r="AA66" s="456">
        <v>5302</v>
      </c>
      <c r="AB66" s="456">
        <v>5302</v>
      </c>
      <c r="AC66" s="5"/>
      <c r="AD66" s="456">
        <v>5302.18</v>
      </c>
      <c r="AE66" s="456">
        <v>5302</v>
      </c>
      <c r="AF66" s="499">
        <v>5302.18</v>
      </c>
      <c r="AG66" s="456">
        <v>5302</v>
      </c>
      <c r="AI66" s="456">
        <v>5302</v>
      </c>
      <c r="AJ66" s="456">
        <v>5302</v>
      </c>
      <c r="AK66" s="456">
        <v>5302</v>
      </c>
      <c r="AL66" s="456">
        <v>3347</v>
      </c>
      <c r="AN66" s="456">
        <v>3347</v>
      </c>
      <c r="AO66" s="456">
        <v>3347</v>
      </c>
      <c r="AP66" s="456">
        <v>0</v>
      </c>
      <c r="AQ66" s="456"/>
      <c r="AS66" s="456"/>
      <c r="AT66" s="456"/>
      <c r="AU66" s="456"/>
      <c r="AV66" s="456"/>
    </row>
    <row r="67" spans="1:48" ht="23.15" customHeight="1" outlineLevel="2">
      <c r="A67" s="612"/>
      <c r="B67" s="613"/>
      <c r="C67" s="42" t="s">
        <v>44</v>
      </c>
      <c r="D67" s="41" t="s">
        <v>45</v>
      </c>
      <c r="E67" s="456"/>
      <c r="F67" s="456"/>
      <c r="G67" s="456"/>
      <c r="H67" s="456"/>
      <c r="I67" s="452"/>
      <c r="J67" s="456"/>
      <c r="K67" s="456"/>
      <c r="L67" s="456">
        <v>1050</v>
      </c>
      <c r="M67" s="456">
        <v>1050</v>
      </c>
      <c r="N67" s="452"/>
      <c r="O67" s="456">
        <v>1050</v>
      </c>
      <c r="P67" s="456">
        <v>1876</v>
      </c>
      <c r="Q67" s="456">
        <v>1876</v>
      </c>
      <c r="R67" s="456">
        <v>1876</v>
      </c>
      <c r="S67" s="5"/>
      <c r="T67" s="456">
        <v>1050</v>
      </c>
      <c r="U67" s="456">
        <v>1876</v>
      </c>
      <c r="V67" s="456">
        <v>1876</v>
      </c>
      <c r="W67" s="456">
        <v>1876</v>
      </c>
      <c r="X67" s="5"/>
      <c r="Y67" s="456">
        <v>2420.48</v>
      </c>
      <c r="Z67" s="456">
        <v>2420</v>
      </c>
      <c r="AA67" s="456">
        <v>2420.48</v>
      </c>
      <c r="AB67" s="456">
        <v>2420.48</v>
      </c>
      <c r="AC67" s="5"/>
      <c r="AD67" s="456">
        <v>2420.48</v>
      </c>
      <c r="AE67" s="456">
        <v>2420</v>
      </c>
      <c r="AF67" s="499">
        <v>2420.48</v>
      </c>
      <c r="AG67" s="456">
        <v>2420</v>
      </c>
      <c r="AI67" s="456">
        <v>2420</v>
      </c>
      <c r="AJ67" s="456">
        <v>2420</v>
      </c>
      <c r="AK67" s="456">
        <v>2420</v>
      </c>
      <c r="AL67" s="456">
        <v>826</v>
      </c>
      <c r="AN67" s="456">
        <v>826</v>
      </c>
      <c r="AO67" s="456">
        <v>826</v>
      </c>
      <c r="AP67" s="456">
        <v>0</v>
      </c>
      <c r="AQ67" s="456"/>
      <c r="AS67" s="456"/>
      <c r="AT67" s="456"/>
      <c r="AU67" s="456"/>
      <c r="AV67" s="456"/>
    </row>
    <row r="68" spans="1:48" ht="23.15" customHeight="1" outlineLevel="2">
      <c r="A68" s="612"/>
      <c r="B68" s="613"/>
      <c r="C68" s="42" t="s">
        <v>47</v>
      </c>
      <c r="D68" s="41" t="s">
        <v>48</v>
      </c>
      <c r="E68" s="456"/>
      <c r="F68" s="456"/>
      <c r="G68" s="456"/>
      <c r="H68" s="456"/>
      <c r="I68" s="452"/>
      <c r="J68" s="456"/>
      <c r="K68" s="456"/>
      <c r="L68" s="456">
        <v>1223</v>
      </c>
      <c r="M68" s="456">
        <v>1223</v>
      </c>
      <c r="N68" s="452"/>
      <c r="O68" s="456">
        <v>1223</v>
      </c>
      <c r="P68" s="456">
        <v>1223</v>
      </c>
      <c r="Q68" s="456">
        <v>1223</v>
      </c>
      <c r="R68" s="456">
        <v>1223</v>
      </c>
      <c r="S68" s="5"/>
      <c r="T68" s="456">
        <v>1223</v>
      </c>
      <c r="U68" s="456">
        <v>1223</v>
      </c>
      <c r="V68" s="456">
        <v>1223</v>
      </c>
      <c r="W68" s="456">
        <v>1223</v>
      </c>
      <c r="X68" s="5"/>
      <c r="Y68" s="456">
        <v>929</v>
      </c>
      <c r="Z68" s="456">
        <v>929</v>
      </c>
      <c r="AA68" s="456">
        <v>929</v>
      </c>
      <c r="AB68" s="456">
        <v>929</v>
      </c>
      <c r="AC68" s="5"/>
      <c r="AD68" s="456">
        <v>929</v>
      </c>
      <c r="AE68" s="456">
        <v>929</v>
      </c>
      <c r="AF68" s="499">
        <v>929</v>
      </c>
      <c r="AG68" s="456">
        <v>929</v>
      </c>
      <c r="AI68" s="456">
        <v>929</v>
      </c>
      <c r="AJ68" s="456">
        <v>929</v>
      </c>
      <c r="AK68" s="456">
        <v>929</v>
      </c>
      <c r="AL68" s="456">
        <v>0</v>
      </c>
      <c r="AN68" s="456">
        <v>0</v>
      </c>
      <c r="AO68" s="456">
        <v>0</v>
      </c>
      <c r="AP68" s="456">
        <v>0</v>
      </c>
      <c r="AQ68" s="456"/>
      <c r="AS68" s="456"/>
      <c r="AT68" s="456"/>
      <c r="AU68" s="456"/>
      <c r="AV68" s="456"/>
    </row>
    <row r="69" spans="1:48" ht="23.15" customHeight="1" outlineLevel="2">
      <c r="A69" s="612"/>
      <c r="B69" s="611"/>
      <c r="C69" s="472" t="s">
        <v>46</v>
      </c>
      <c r="D69" s="43" t="s">
        <v>46</v>
      </c>
      <c r="E69" s="456"/>
      <c r="F69" s="456"/>
      <c r="G69" s="456"/>
      <c r="H69" s="456"/>
      <c r="I69" s="452"/>
      <c r="J69" s="456"/>
      <c r="K69" s="457"/>
      <c r="L69" s="457">
        <v>929</v>
      </c>
      <c r="M69" s="457">
        <v>929</v>
      </c>
      <c r="N69" s="455"/>
      <c r="O69" s="457">
        <v>929</v>
      </c>
      <c r="P69" s="457">
        <v>929</v>
      </c>
      <c r="Q69" s="457">
        <v>929</v>
      </c>
      <c r="R69" s="457">
        <v>929</v>
      </c>
      <c r="S69" s="5"/>
      <c r="T69" s="457">
        <v>929</v>
      </c>
      <c r="U69" s="457">
        <v>929</v>
      </c>
      <c r="V69" s="457">
        <v>929</v>
      </c>
      <c r="W69" s="457">
        <v>929</v>
      </c>
      <c r="X69" s="5"/>
      <c r="Y69" s="457">
        <v>1222.8</v>
      </c>
      <c r="Z69" s="457">
        <v>1222.8</v>
      </c>
      <c r="AA69" s="457">
        <v>1222.8</v>
      </c>
      <c r="AB69" s="457">
        <v>1222.8</v>
      </c>
      <c r="AC69" s="5"/>
      <c r="AD69" s="457">
        <v>1222.8</v>
      </c>
      <c r="AE69" s="457">
        <v>1223</v>
      </c>
      <c r="AF69" s="500">
        <v>1222.8</v>
      </c>
      <c r="AG69" s="457">
        <v>1223</v>
      </c>
      <c r="AI69" s="457">
        <v>1223</v>
      </c>
      <c r="AJ69" s="457">
        <v>1223</v>
      </c>
      <c r="AK69" s="457">
        <v>1223</v>
      </c>
      <c r="AL69" s="457">
        <v>1223</v>
      </c>
      <c r="AN69" s="457">
        <v>1223</v>
      </c>
      <c r="AO69" s="457">
        <v>1223</v>
      </c>
      <c r="AP69" s="457">
        <v>0</v>
      </c>
      <c r="AQ69" s="457"/>
      <c r="AS69" s="457"/>
      <c r="AT69" s="457"/>
      <c r="AU69" s="457"/>
      <c r="AV69" s="457"/>
    </row>
    <row r="70" spans="1:48" ht="15.9" outlineLevel="1">
      <c r="A70" s="612"/>
      <c r="C70" s="436" t="s">
        <v>49</v>
      </c>
      <c r="D70" s="437" t="s">
        <v>50</v>
      </c>
      <c r="E70" s="57">
        <f>SUM(E59:E69)</f>
        <v>12357</v>
      </c>
      <c r="F70" s="57">
        <f>SUM(F59:F69)</f>
        <v>14607</v>
      </c>
      <c r="G70" s="57">
        <f>SUM(G59:G69)</f>
        <v>15420</v>
      </c>
      <c r="H70" s="57">
        <f>SUM(H59:H69)</f>
        <v>17582</v>
      </c>
      <c r="I70" s="458"/>
      <c r="J70" s="57">
        <f>SUM(J59:J69)</f>
        <v>17582</v>
      </c>
      <c r="K70" s="57">
        <f>SUM(K59:K69)</f>
        <v>22094</v>
      </c>
      <c r="L70" s="57">
        <f>SUM(L59:L69)</f>
        <v>30534</v>
      </c>
      <c r="M70" s="57">
        <f>SUM(M59:M69)</f>
        <v>33538</v>
      </c>
      <c r="N70" s="458"/>
      <c r="O70" s="57">
        <f>SUM(O59:O69)</f>
        <v>34308.58</v>
      </c>
      <c r="P70" s="57">
        <f t="shared" ref="P70:R70" si="4">SUM(P59:P69)</f>
        <v>36228.120000000003</v>
      </c>
      <c r="Q70" s="57">
        <f t="shared" si="4"/>
        <v>35373.120000000003</v>
      </c>
      <c r="R70" s="57">
        <f t="shared" si="4"/>
        <v>34886.5</v>
      </c>
      <c r="S70" s="5"/>
      <c r="T70" s="57">
        <f t="shared" ref="T70:W70" si="5">SUM(T59:T69)</f>
        <v>35403</v>
      </c>
      <c r="U70" s="57">
        <f t="shared" si="5"/>
        <v>36229</v>
      </c>
      <c r="V70" s="57">
        <f t="shared" si="5"/>
        <v>34737</v>
      </c>
      <c r="W70" s="57">
        <f t="shared" si="5"/>
        <v>34375</v>
      </c>
      <c r="X70" s="5"/>
      <c r="Y70" s="57">
        <f t="shared" ref="Y70" si="6">SUM(Y59:Y69)</f>
        <v>34918.78</v>
      </c>
      <c r="Z70" s="57">
        <f>SUM(Z59:Z69)</f>
        <v>34918.800000000003</v>
      </c>
      <c r="AA70" s="57">
        <f>SUM(AA59:AA69)</f>
        <v>35402.700000000004</v>
      </c>
      <c r="AB70" s="57">
        <f>SUM(AB59:AB69)</f>
        <v>34645.06</v>
      </c>
      <c r="AC70" s="5"/>
      <c r="AD70" s="57">
        <f>SUM(AD59:AD69)</f>
        <v>33291.24</v>
      </c>
      <c r="AE70" s="57">
        <v>24126</v>
      </c>
      <c r="AF70" s="57">
        <f>SUM(AF59:AF69)</f>
        <v>24223.279999999999</v>
      </c>
      <c r="AG70" s="57">
        <v>22989</v>
      </c>
      <c r="AI70" s="57">
        <f>SUM(AI59:AI69)</f>
        <v>13574</v>
      </c>
      <c r="AJ70" s="57">
        <f>SUM(AJ59:AJ69)</f>
        <v>13574</v>
      </c>
      <c r="AK70" s="57">
        <f>SUM(AK59:AK69)</f>
        <v>13574</v>
      </c>
      <c r="AL70" s="57">
        <f>SUM(AL59:AL69)</f>
        <v>8094</v>
      </c>
      <c r="AN70" s="57">
        <f>SUM(AN59:AN69)</f>
        <v>8094</v>
      </c>
      <c r="AO70" s="57">
        <f>SUM(AO59:AO69)</f>
        <v>8094</v>
      </c>
      <c r="AP70" s="57">
        <f>SUM(AP59:AP69)</f>
        <v>2698</v>
      </c>
      <c r="AQ70" s="57">
        <v>2698</v>
      </c>
      <c r="AS70" s="57">
        <f>SUM(AS59:AS69)</f>
        <v>2698</v>
      </c>
      <c r="AT70" s="57">
        <f>SUM(AT59:AT69)</f>
        <v>0</v>
      </c>
      <c r="AU70" s="57">
        <f>SUM(AU59:AU69)</f>
        <v>0</v>
      </c>
      <c r="AV70" s="57"/>
    </row>
    <row r="71" spans="1:48" ht="23.15" customHeight="1" outlineLevel="2">
      <c r="A71" s="612"/>
      <c r="B71" s="614" t="s">
        <v>275</v>
      </c>
      <c r="C71" s="42" t="s">
        <v>51</v>
      </c>
      <c r="D71" s="40" t="s">
        <v>51</v>
      </c>
      <c r="E71" s="51">
        <v>2298</v>
      </c>
      <c r="F71" s="52">
        <v>2298</v>
      </c>
      <c r="G71" s="52">
        <v>3012</v>
      </c>
      <c r="H71" s="52">
        <v>5256</v>
      </c>
      <c r="I71" s="459"/>
      <c r="J71" s="52">
        <v>5726</v>
      </c>
      <c r="K71" s="52">
        <v>7777</v>
      </c>
      <c r="L71" s="52">
        <v>9076</v>
      </c>
      <c r="M71" s="52">
        <v>11945</v>
      </c>
      <c r="N71" s="459"/>
      <c r="O71" s="52">
        <v>14132.5</v>
      </c>
      <c r="P71" s="52">
        <v>17146.23</v>
      </c>
      <c r="Q71" s="52">
        <v>17146.23</v>
      </c>
      <c r="R71" s="52">
        <v>17146.23</v>
      </c>
      <c r="S71" s="5"/>
      <c r="T71" s="52">
        <v>14133</v>
      </c>
      <c r="U71" s="52">
        <v>17146.23</v>
      </c>
      <c r="V71" s="52">
        <v>17146.23</v>
      </c>
      <c r="W71" s="52">
        <v>17146.23</v>
      </c>
      <c r="X71" s="5"/>
      <c r="Y71" s="52">
        <v>17146.23</v>
      </c>
      <c r="Z71" s="52">
        <v>19413</v>
      </c>
      <c r="AA71" s="52">
        <v>19080</v>
      </c>
      <c r="AB71" s="52">
        <v>20714.929999999997</v>
      </c>
      <c r="AC71" s="5"/>
      <c r="AD71" s="52">
        <v>21586.129999999997</v>
      </c>
      <c r="AE71" s="52">
        <v>22926</v>
      </c>
      <c r="AF71" s="52">
        <v>23705.059999999994</v>
      </c>
      <c r="AG71" s="52">
        <v>26689</v>
      </c>
      <c r="AI71" s="52">
        <v>28622</v>
      </c>
      <c r="AJ71" s="52">
        <v>32359</v>
      </c>
      <c r="AK71" s="52">
        <v>35562</v>
      </c>
      <c r="AL71" s="52">
        <v>36527.620000000003</v>
      </c>
      <c r="AN71" s="52">
        <v>34195</v>
      </c>
      <c r="AO71" s="52">
        <v>34195</v>
      </c>
      <c r="AP71" s="52">
        <v>32400</v>
      </c>
      <c r="AQ71" s="52">
        <v>31812</v>
      </c>
      <c r="AS71" s="52">
        <v>30737</v>
      </c>
      <c r="AT71" s="52"/>
      <c r="AU71" s="52"/>
      <c r="AV71" s="52"/>
    </row>
    <row r="72" spans="1:48" ht="23.15" customHeight="1" outlineLevel="2">
      <c r="A72" s="612"/>
      <c r="B72" s="615"/>
      <c r="C72" s="124" t="s">
        <v>223</v>
      </c>
      <c r="D72" s="290" t="s">
        <v>223</v>
      </c>
      <c r="E72" s="123"/>
      <c r="F72" s="53"/>
      <c r="G72" s="53"/>
      <c r="H72" s="53"/>
      <c r="I72" s="459"/>
      <c r="J72" s="53"/>
      <c r="K72" s="53"/>
      <c r="L72" s="53"/>
      <c r="M72" s="53"/>
      <c r="N72" s="459"/>
      <c r="O72" s="53"/>
      <c r="P72" s="53"/>
      <c r="Q72" s="53"/>
      <c r="R72" s="53"/>
      <c r="S72" s="5"/>
      <c r="T72" s="53"/>
      <c r="U72" s="53"/>
      <c r="V72" s="53"/>
      <c r="W72" s="53"/>
      <c r="X72" s="5"/>
      <c r="Y72" s="53"/>
      <c r="Z72" s="53">
        <v>31375</v>
      </c>
      <c r="AA72" s="53">
        <v>51246</v>
      </c>
      <c r="AB72" s="53">
        <v>78636.31</v>
      </c>
      <c r="AC72" s="5"/>
      <c r="AD72" s="53">
        <v>106508.95</v>
      </c>
      <c r="AE72" s="53">
        <v>128719</v>
      </c>
      <c r="AF72" s="53">
        <v>141713.79</v>
      </c>
      <c r="AG72" s="53">
        <v>152103</v>
      </c>
      <c r="AI72" s="53">
        <v>170241</v>
      </c>
      <c r="AJ72" s="53">
        <v>188817</v>
      </c>
      <c r="AK72" s="53">
        <v>221649</v>
      </c>
      <c r="AL72" s="53">
        <v>226687</v>
      </c>
      <c r="AN72" s="53">
        <v>239625</v>
      </c>
      <c r="AO72" s="53">
        <v>244846</v>
      </c>
      <c r="AP72" s="53">
        <v>268677</v>
      </c>
      <c r="AQ72" s="53">
        <v>292568</v>
      </c>
      <c r="AS72" s="53">
        <v>310312</v>
      </c>
      <c r="AT72" s="53"/>
      <c r="AU72" s="53"/>
      <c r="AV72" s="53"/>
    </row>
    <row r="73" spans="1:48" ht="23.15" customHeight="1" outlineLevel="2">
      <c r="A73" s="612"/>
      <c r="B73" s="615"/>
      <c r="C73" s="124" t="s">
        <v>347</v>
      </c>
      <c r="D73" s="124" t="s">
        <v>347</v>
      </c>
      <c r="E73" s="123"/>
      <c r="F73" s="53"/>
      <c r="G73" s="53"/>
      <c r="H73" s="53"/>
      <c r="I73" s="459"/>
      <c r="J73" s="53"/>
      <c r="K73" s="53"/>
      <c r="L73" s="53"/>
      <c r="M73" s="53"/>
      <c r="N73" s="459"/>
      <c r="O73" s="53"/>
      <c r="P73" s="53"/>
      <c r="Q73" s="53"/>
      <c r="R73" s="53"/>
      <c r="S73" s="5"/>
      <c r="T73" s="53"/>
      <c r="U73" s="53"/>
      <c r="V73" s="53"/>
      <c r="W73" s="53"/>
      <c r="X73" s="5"/>
      <c r="Y73" s="53"/>
      <c r="Z73" s="53"/>
      <c r="AA73" s="53"/>
      <c r="AB73" s="53"/>
      <c r="AC73" s="5"/>
      <c r="AD73" s="53"/>
      <c r="AE73" s="53"/>
      <c r="AF73" s="53"/>
      <c r="AG73" s="53"/>
      <c r="AI73" s="53"/>
      <c r="AJ73" s="53"/>
      <c r="AK73" s="53"/>
      <c r="AL73" s="53"/>
      <c r="AN73" s="53">
        <v>0</v>
      </c>
      <c r="AO73" s="53">
        <v>3084</v>
      </c>
      <c r="AP73" s="53">
        <v>3084</v>
      </c>
      <c r="AQ73" s="53">
        <v>2711</v>
      </c>
      <c r="AS73" s="53">
        <v>2711</v>
      </c>
      <c r="AT73" s="53"/>
      <c r="AU73" s="53"/>
      <c r="AV73" s="53"/>
    </row>
    <row r="74" spans="1:48" ht="23.15" customHeight="1" outlineLevel="2">
      <c r="A74" s="612"/>
      <c r="B74" s="615"/>
      <c r="C74" s="124" t="s">
        <v>348</v>
      </c>
      <c r="D74" s="124" t="s">
        <v>348</v>
      </c>
      <c r="E74" s="123"/>
      <c r="F74" s="53"/>
      <c r="G74" s="53"/>
      <c r="H74" s="53"/>
      <c r="I74" s="459"/>
      <c r="J74" s="53"/>
      <c r="K74" s="53"/>
      <c r="L74" s="53"/>
      <c r="M74" s="53"/>
      <c r="N74" s="459"/>
      <c r="O74" s="53"/>
      <c r="P74" s="53"/>
      <c r="Q74" s="53"/>
      <c r="R74" s="53"/>
      <c r="S74" s="5"/>
      <c r="T74" s="53"/>
      <c r="U74" s="53"/>
      <c r="V74" s="53"/>
      <c r="W74" s="53"/>
      <c r="X74" s="5"/>
      <c r="Y74" s="53"/>
      <c r="Z74" s="53"/>
      <c r="AA74" s="53"/>
      <c r="AB74" s="53"/>
      <c r="AC74" s="5"/>
      <c r="AD74" s="53"/>
      <c r="AE74" s="53"/>
      <c r="AF74" s="53"/>
      <c r="AG74" s="53"/>
      <c r="AI74" s="53"/>
      <c r="AJ74" s="53"/>
      <c r="AK74" s="53"/>
      <c r="AL74" s="53"/>
      <c r="AN74" s="53"/>
      <c r="AO74" s="53"/>
      <c r="AP74" s="53">
        <v>873</v>
      </c>
      <c r="AQ74" s="53">
        <v>2258</v>
      </c>
      <c r="AS74" s="53">
        <v>11308</v>
      </c>
      <c r="AT74" s="53"/>
      <c r="AU74" s="53"/>
      <c r="AV74" s="53"/>
    </row>
    <row r="75" spans="1:48" ht="23.15" customHeight="1" outlineLevel="2">
      <c r="A75" s="612"/>
      <c r="B75" s="615"/>
      <c r="C75" s="42" t="s">
        <v>53</v>
      </c>
      <c r="D75" s="40" t="s">
        <v>53</v>
      </c>
      <c r="E75" s="456" t="s">
        <v>28</v>
      </c>
      <c r="F75" s="53">
        <v>86774</v>
      </c>
      <c r="G75" s="53">
        <v>88126</v>
      </c>
      <c r="H75" s="53">
        <v>83299</v>
      </c>
      <c r="I75" s="459"/>
      <c r="J75" s="53">
        <v>81149</v>
      </c>
      <c r="K75" s="53">
        <v>80742</v>
      </c>
      <c r="L75" s="53">
        <v>78759</v>
      </c>
      <c r="M75" s="53">
        <v>81315</v>
      </c>
      <c r="N75" s="459"/>
      <c r="O75" s="53">
        <v>77309</v>
      </c>
      <c r="P75" s="53"/>
      <c r="Q75" s="53"/>
      <c r="R75" s="53"/>
      <c r="S75" s="5"/>
      <c r="T75" s="53"/>
      <c r="U75" s="53"/>
      <c r="V75" s="53"/>
      <c r="W75" s="53"/>
      <c r="X75" s="5"/>
      <c r="Y75" s="53"/>
      <c r="Z75" s="53"/>
      <c r="AA75" s="53"/>
      <c r="AB75" s="148" t="s">
        <v>28</v>
      </c>
      <c r="AC75" s="5"/>
      <c r="AD75" s="53"/>
      <c r="AE75" s="53"/>
      <c r="AF75" s="53"/>
      <c r="AG75" s="148">
        <v>0</v>
      </c>
      <c r="AI75" s="53">
        <v>0</v>
      </c>
      <c r="AJ75" s="53"/>
      <c r="AK75" s="53">
        <v>0</v>
      </c>
      <c r="AL75" s="148">
        <v>0</v>
      </c>
      <c r="AN75" s="53">
        <v>0</v>
      </c>
      <c r="AO75" s="53"/>
      <c r="AP75" s="53">
        <v>0</v>
      </c>
      <c r="AQ75" s="148"/>
      <c r="AS75" s="53"/>
      <c r="AT75" s="53"/>
      <c r="AU75" s="53"/>
      <c r="AV75" s="148"/>
    </row>
    <row r="76" spans="1:48" ht="23.15" customHeight="1" outlineLevel="2">
      <c r="A76" s="612"/>
      <c r="B76" s="616"/>
      <c r="C76" s="42" t="s">
        <v>54</v>
      </c>
      <c r="D76" s="40" t="s">
        <v>54</v>
      </c>
      <c r="E76" s="456" t="s">
        <v>28</v>
      </c>
      <c r="F76" s="456" t="s">
        <v>28</v>
      </c>
      <c r="G76" s="456" t="s">
        <v>28</v>
      </c>
      <c r="H76" s="53">
        <v>7972</v>
      </c>
      <c r="I76" s="459"/>
      <c r="J76" s="53">
        <v>7972</v>
      </c>
      <c r="K76" s="53">
        <v>7972</v>
      </c>
      <c r="L76" s="53">
        <f>6372+976</f>
        <v>7348</v>
      </c>
      <c r="M76" s="53">
        <v>6713</v>
      </c>
      <c r="N76" s="459"/>
      <c r="O76" s="53">
        <v>5100.99</v>
      </c>
      <c r="P76" s="53">
        <v>4633</v>
      </c>
      <c r="Q76" s="53">
        <v>4327</v>
      </c>
      <c r="R76" s="53">
        <v>3979.45</v>
      </c>
      <c r="S76" s="5"/>
      <c r="T76" s="53">
        <v>4892</v>
      </c>
      <c r="U76" s="53">
        <v>4418</v>
      </c>
      <c r="V76" s="53">
        <v>4327</v>
      </c>
      <c r="W76" s="53">
        <v>1889</v>
      </c>
      <c r="X76" s="5"/>
      <c r="Y76" s="53">
        <v>1050</v>
      </c>
      <c r="Z76" s="53">
        <v>186</v>
      </c>
      <c r="AA76" s="128" t="s">
        <v>28</v>
      </c>
      <c r="AB76" s="148" t="s">
        <v>28</v>
      </c>
      <c r="AC76" s="5"/>
      <c r="AD76" s="53"/>
      <c r="AE76" s="53"/>
      <c r="AF76" s="53"/>
      <c r="AG76" s="148">
        <v>0</v>
      </c>
      <c r="AI76" s="53">
        <v>0</v>
      </c>
      <c r="AJ76" s="53"/>
      <c r="AK76" s="53">
        <v>0</v>
      </c>
      <c r="AL76" s="148" t="s">
        <v>28</v>
      </c>
      <c r="AN76" s="53" t="s">
        <v>28</v>
      </c>
      <c r="AO76" s="53"/>
      <c r="AP76" s="53">
        <v>0</v>
      </c>
      <c r="AQ76" s="148"/>
      <c r="AS76" s="53"/>
      <c r="AT76" s="53"/>
      <c r="AU76" s="53"/>
      <c r="AV76" s="148"/>
    </row>
    <row r="77" spans="1:48" ht="35.5" customHeight="1" thickBot="1">
      <c r="A77" s="612"/>
      <c r="C77" s="443" t="s">
        <v>55</v>
      </c>
      <c r="D77" s="443" t="s">
        <v>56</v>
      </c>
      <c r="E77" s="145">
        <f>SUM(E70:E76)+E58</f>
        <v>464159</v>
      </c>
      <c r="F77" s="146">
        <f>SUM(F70:F76)+F58</f>
        <v>602784</v>
      </c>
      <c r="G77" s="146">
        <f>SUM(G70:G76)+G58</f>
        <v>625800</v>
      </c>
      <c r="H77" s="146">
        <f>SUM(H70:H76)+H58</f>
        <v>668168</v>
      </c>
      <c r="I77" s="460"/>
      <c r="J77" s="146">
        <f>SUM(J70:J76)+J58</f>
        <v>674267</v>
      </c>
      <c r="K77" s="146">
        <f>SUM(K70:K76)+K58</f>
        <v>702308</v>
      </c>
      <c r="L77" s="146">
        <f>SUM(L70:L76)+L58</f>
        <v>724767</v>
      </c>
      <c r="M77" s="146">
        <f>SUM(M70:M76)+M58</f>
        <v>759950</v>
      </c>
      <c r="N77" s="460"/>
      <c r="O77" s="146">
        <f>SUM(O70:O76)+O58</f>
        <v>753873.34003000031</v>
      </c>
      <c r="P77" s="146">
        <f>SUM(P70:P76)+P58</f>
        <v>684887.69003000017</v>
      </c>
      <c r="Q77" s="146">
        <f>SUM(Q70:Q76)+Q58</f>
        <v>687895.27003000013</v>
      </c>
      <c r="R77" s="146">
        <f>SUM(R70:R76)+R58</f>
        <v>692615.29003000003</v>
      </c>
      <c r="S77" s="461"/>
      <c r="T77" s="146">
        <f>SUM(T70:T76)+T58</f>
        <v>677194</v>
      </c>
      <c r="U77" s="146">
        <f>SUM(U70:U76)+U58</f>
        <v>684354.23</v>
      </c>
      <c r="V77" s="146">
        <f>SUM(V70:V76)+V58</f>
        <v>693800.23</v>
      </c>
      <c r="W77" s="146">
        <f>SUM(W70:W76)+W58</f>
        <v>683654.85</v>
      </c>
      <c r="X77" s="461"/>
      <c r="Y77" s="146">
        <f>SUM(Y70:Y76)+Y58</f>
        <v>668002.73003000033</v>
      </c>
      <c r="Z77" s="146">
        <f>Z58+Z70+Z71+Z72+Z76</f>
        <v>676396.60003000032</v>
      </c>
      <c r="AA77" s="146">
        <f>AA58+AA70+AA71+AA72</f>
        <v>677055.7</v>
      </c>
      <c r="AB77" s="146">
        <f>AB58+AB70+AB71+AB72</f>
        <v>690070.15003000014</v>
      </c>
      <c r="AC77" s="461"/>
      <c r="AD77" s="146">
        <f>AD58+AD70+AD72+AD71</f>
        <v>689050.04003000015</v>
      </c>
      <c r="AE77" s="146">
        <v>709289</v>
      </c>
      <c r="AF77" s="146">
        <f>AF58+AF70+AF71+AF72</f>
        <v>727635.07003000029</v>
      </c>
      <c r="AG77" s="146">
        <v>732061</v>
      </c>
      <c r="AI77" s="146">
        <f>AI58+AI70+AI72+AI71</f>
        <v>750058</v>
      </c>
      <c r="AJ77" s="146">
        <f>AJ58+AJ70+AJ72+AJ71</f>
        <v>762297</v>
      </c>
      <c r="AK77" s="146">
        <f>AK58+AK70+AK71+AK72</f>
        <v>793513</v>
      </c>
      <c r="AL77" s="146">
        <f>AL58+AL70+AL72+AL71</f>
        <v>787364.62</v>
      </c>
      <c r="AN77" s="146">
        <f>SUM(AN58+AN70+AN71+AN72)</f>
        <v>800251</v>
      </c>
      <c r="AO77" s="146">
        <f>SUM(AO58+AO70+AO71+AO72+AO73)</f>
        <v>806502</v>
      </c>
      <c r="AP77" s="146">
        <f>SUM(AP58+AP70+AP71+AP72+AP73+AP74)</f>
        <v>827686</v>
      </c>
      <c r="AQ77" s="146">
        <v>856221</v>
      </c>
      <c r="AS77" s="146">
        <f>SUM(AS58+AS70+AS71+AS72+AS73+AS74)</f>
        <v>890859</v>
      </c>
      <c r="AT77" s="146">
        <f>SUM(AT58+AT70+AT71+AT72+AT73)</f>
        <v>0</v>
      </c>
      <c r="AU77" s="146">
        <f>SUM(AU58+AU70+AU71+AU72+AU73+AU74)</f>
        <v>0</v>
      </c>
      <c r="AV77" s="146"/>
    </row>
    <row r="78" spans="1:48" ht="35.5" customHeight="1" thickTop="1">
      <c r="A78" s="368"/>
      <c r="C78" s="462" t="s">
        <v>59</v>
      </c>
      <c r="D78" s="462" t="s">
        <v>60</v>
      </c>
      <c r="E78" s="129"/>
      <c r="F78" s="129"/>
      <c r="G78" s="129"/>
      <c r="H78" s="129"/>
      <c r="I78" s="463"/>
      <c r="J78" s="129"/>
      <c r="K78" s="129"/>
      <c r="L78" s="129"/>
      <c r="M78" s="129"/>
      <c r="N78" s="463"/>
      <c r="O78" s="129"/>
      <c r="P78" s="129">
        <v>75630</v>
      </c>
      <c r="Q78" s="129">
        <v>74097</v>
      </c>
      <c r="R78" s="129">
        <v>66190</v>
      </c>
      <c r="S78" s="464"/>
      <c r="T78" s="129">
        <v>77309</v>
      </c>
      <c r="U78" s="129">
        <v>76073</v>
      </c>
      <c r="V78" s="129">
        <v>72150</v>
      </c>
      <c r="W78" s="129">
        <v>65078</v>
      </c>
      <c r="X78" s="464"/>
      <c r="Y78" s="129">
        <v>63782</v>
      </c>
      <c r="Z78" s="129">
        <v>56482</v>
      </c>
      <c r="AA78" s="129" t="s">
        <v>28</v>
      </c>
      <c r="AB78" s="69"/>
      <c r="AC78" s="464"/>
      <c r="AD78" s="129"/>
      <c r="AE78" s="129"/>
      <c r="AF78" s="129"/>
      <c r="AG78" s="69"/>
      <c r="AI78" s="129"/>
      <c r="AJ78" s="129"/>
      <c r="AK78" s="129"/>
      <c r="AL78" s="69"/>
    </row>
    <row r="79" spans="1:48">
      <c r="I79" s="5"/>
      <c r="N79" s="5"/>
      <c r="S79" s="5"/>
    </row>
    <row r="80" spans="1:48">
      <c r="A80" s="60"/>
      <c r="I80" s="5"/>
      <c r="N80" s="5"/>
      <c r="S80" s="5"/>
      <c r="X80" s="5"/>
      <c r="AC80" s="5"/>
    </row>
    <row r="81" spans="1:48" ht="15" thickBot="1">
      <c r="A81" s="60"/>
      <c r="C81" s="130" t="s">
        <v>65</v>
      </c>
      <c r="D81" s="130" t="s">
        <v>66</v>
      </c>
      <c r="E81" s="131">
        <v>43190</v>
      </c>
      <c r="F81" s="132" t="s">
        <v>3</v>
      </c>
      <c r="G81" s="132" t="s">
        <v>4</v>
      </c>
      <c r="H81" s="132" t="s">
        <v>5</v>
      </c>
      <c r="I81" s="144"/>
      <c r="J81" s="131" t="s">
        <v>6</v>
      </c>
      <c r="K81" s="131">
        <v>43646</v>
      </c>
      <c r="L81" s="131">
        <v>43738</v>
      </c>
      <c r="M81" s="131">
        <v>43830</v>
      </c>
      <c r="N81" s="5"/>
      <c r="O81" s="131">
        <v>43921</v>
      </c>
      <c r="P81" s="131">
        <v>44012</v>
      </c>
      <c r="Q81" s="131">
        <v>44104</v>
      </c>
      <c r="R81" s="131">
        <v>44196</v>
      </c>
      <c r="S81" s="5"/>
      <c r="T81" s="131">
        <v>43951</v>
      </c>
      <c r="U81" s="131">
        <v>44043</v>
      </c>
      <c r="V81" s="131">
        <v>44135</v>
      </c>
      <c r="W81" s="131">
        <v>44227</v>
      </c>
      <c r="X81" s="5"/>
      <c r="Y81" s="131">
        <v>44316</v>
      </c>
      <c r="Z81" s="131">
        <v>44408</v>
      </c>
      <c r="AA81" s="131">
        <v>44500</v>
      </c>
      <c r="AB81" s="131">
        <v>44592</v>
      </c>
      <c r="AC81" s="5"/>
      <c r="AD81" s="131">
        <v>44681</v>
      </c>
      <c r="AE81" s="131">
        <v>44773</v>
      </c>
      <c r="AF81" s="131">
        <v>44865</v>
      </c>
      <c r="AG81" s="131">
        <v>44957</v>
      </c>
      <c r="AI81" s="131">
        <v>45046</v>
      </c>
      <c r="AJ81" s="131">
        <v>45138</v>
      </c>
      <c r="AK81" s="131">
        <v>45230</v>
      </c>
      <c r="AL81" s="131">
        <v>45322</v>
      </c>
      <c r="AN81" s="131">
        <v>45412</v>
      </c>
      <c r="AO81" s="131">
        <v>45504</v>
      </c>
      <c r="AP81" s="131">
        <v>45596</v>
      </c>
      <c r="AQ81" s="131">
        <v>45688</v>
      </c>
      <c r="AS81" s="64">
        <v>45777</v>
      </c>
      <c r="AT81" s="28">
        <v>45869</v>
      </c>
      <c r="AU81" s="68">
        <v>45961</v>
      </c>
      <c r="AV81" s="29">
        <v>46053</v>
      </c>
    </row>
    <row r="82" spans="1:48" ht="37.200000000000003" customHeight="1" thickTop="1">
      <c r="A82" s="609" t="s">
        <v>349</v>
      </c>
      <c r="B82" s="610" t="s">
        <v>67</v>
      </c>
      <c r="C82" s="61" t="s">
        <v>68</v>
      </c>
      <c r="D82" s="151" t="s">
        <v>69</v>
      </c>
      <c r="E82" s="62">
        <v>169</v>
      </c>
      <c r="F82" s="62">
        <v>232</v>
      </c>
      <c r="G82" s="62">
        <v>249</v>
      </c>
      <c r="H82" s="62">
        <v>328</v>
      </c>
      <c r="I82" s="465"/>
      <c r="J82" s="152">
        <v>289</v>
      </c>
      <c r="K82" s="62">
        <v>346</v>
      </c>
      <c r="L82" s="65">
        <v>354</v>
      </c>
      <c r="M82" s="153">
        <v>460</v>
      </c>
      <c r="N82" s="5"/>
      <c r="O82" s="152">
        <v>412</v>
      </c>
      <c r="P82" s="62">
        <v>629</v>
      </c>
      <c r="Q82" s="65">
        <v>571</v>
      </c>
      <c r="R82" s="153">
        <v>846</v>
      </c>
      <c r="S82" s="5"/>
      <c r="T82" s="153">
        <v>487</v>
      </c>
      <c r="U82" s="153"/>
      <c r="V82" s="153"/>
      <c r="W82" s="153">
        <v>1094</v>
      </c>
      <c r="X82" s="5"/>
      <c r="Y82" s="153">
        <v>893</v>
      </c>
      <c r="Z82" s="153">
        <v>888.2</v>
      </c>
      <c r="AA82" s="153">
        <v>940</v>
      </c>
      <c r="AB82" s="153">
        <v>1160</v>
      </c>
      <c r="AC82" s="5"/>
      <c r="AD82" s="153">
        <v>1026</v>
      </c>
      <c r="AE82" s="153">
        <v>2339.6</v>
      </c>
      <c r="AF82" s="153">
        <v>3595</v>
      </c>
      <c r="AG82" s="153">
        <v>5033.8</v>
      </c>
      <c r="AI82" s="153">
        <v>1091.3999999999999</v>
      </c>
      <c r="AJ82" s="153">
        <f>AJ83*('Segmenty | Segments'!Y3+'Segmenty | Segments'!X3)</f>
        <v>2352.0264000000002</v>
      </c>
      <c r="AK82" s="153">
        <v>3600.2106459193337</v>
      </c>
      <c r="AL82" s="153">
        <v>4356.2</v>
      </c>
      <c r="AN82" s="153">
        <v>960.6</v>
      </c>
      <c r="AO82" s="153">
        <v>2066.1</v>
      </c>
      <c r="AP82" s="153">
        <v>3255.6</v>
      </c>
      <c r="AQ82" s="153">
        <v>4376.7833525345004</v>
      </c>
      <c r="AS82" s="153">
        <v>881.09999999999991</v>
      </c>
      <c r="AT82" s="153"/>
      <c r="AU82" s="153"/>
      <c r="AV82" s="153"/>
    </row>
    <row r="83" spans="1:48" ht="26.5" customHeight="1" thickBot="1">
      <c r="A83" s="609"/>
      <c r="B83" s="611"/>
      <c r="C83" s="154" t="s">
        <v>70</v>
      </c>
      <c r="D83" s="155" t="s">
        <v>71</v>
      </c>
      <c r="E83" s="156">
        <v>0.25655107683679312</v>
      </c>
      <c r="F83" s="156">
        <v>0.18257808790876337</v>
      </c>
      <c r="G83" s="156">
        <v>0.20872241223527402</v>
      </c>
      <c r="H83" s="156">
        <v>0.20458338546655402</v>
      </c>
      <c r="I83" s="466"/>
      <c r="J83" s="157">
        <v>0.27825919507028696</v>
      </c>
      <c r="K83" s="157">
        <v>0.2276203753790017</v>
      </c>
      <c r="L83" s="157">
        <v>0.26251390433815358</v>
      </c>
      <c r="M83" s="157">
        <v>0.28811223850682693</v>
      </c>
      <c r="N83" s="5"/>
      <c r="O83" s="157">
        <v>0.44158628081457663</v>
      </c>
      <c r="P83" s="157">
        <v>0.50195515122496215</v>
      </c>
      <c r="Q83" s="157">
        <v>0.39233200494709358</v>
      </c>
      <c r="R83" s="157">
        <v>0.52125693160813313</v>
      </c>
      <c r="S83" s="5"/>
      <c r="T83" s="157">
        <v>0.63107425165219644</v>
      </c>
      <c r="U83" s="157"/>
      <c r="V83" s="157"/>
      <c r="W83" s="157">
        <f>W82/1983</f>
        <v>0.55168935955622789</v>
      </c>
      <c r="X83" s="5"/>
      <c r="Y83" s="157">
        <v>0.62539393514952035</v>
      </c>
      <c r="Z83" s="157">
        <v>0.43375494457195884</v>
      </c>
      <c r="AA83" s="157">
        <f>AA82/2071</f>
        <v>0.45388701110574603</v>
      </c>
      <c r="AB83" s="157">
        <v>0.56715396274385177</v>
      </c>
      <c r="AC83" s="5"/>
      <c r="AD83" s="157">
        <v>0.54500000000000004</v>
      </c>
      <c r="AE83" s="475">
        <v>0.54900000000000004</v>
      </c>
      <c r="AF83" s="157">
        <v>0.53805283244780366</v>
      </c>
      <c r="AG83" s="157">
        <v>0.55000000000000004</v>
      </c>
      <c r="AI83" s="475">
        <v>0.528753451867642</v>
      </c>
      <c r="AJ83" s="475">
        <v>0.52400000000000002</v>
      </c>
      <c r="AK83" s="157">
        <v>0.52033684722060036</v>
      </c>
      <c r="AL83" s="157">
        <v>0.46144719977119375</v>
      </c>
      <c r="AN83" s="475">
        <v>0.42479989386636002</v>
      </c>
      <c r="AO83" s="475">
        <v>0.42595608700134002</v>
      </c>
      <c r="AP83" s="157">
        <v>0.42716561261710445</v>
      </c>
      <c r="AQ83" s="157">
        <v>0.42481493890345351</v>
      </c>
      <c r="AS83" s="475">
        <f>AS82/'RZiS | P&amp;L'!BH3</f>
        <v>0.37562348126358869</v>
      </c>
      <c r="AT83" s="475"/>
      <c r="AU83" s="157"/>
      <c r="AV83" s="157"/>
    </row>
    <row r="84" spans="1:48" ht="15" thickTop="1">
      <c r="I84" s="5"/>
      <c r="N84" s="5"/>
      <c r="S84" s="5"/>
      <c r="X84" s="5"/>
    </row>
    <row r="85" spans="1:48">
      <c r="I85" s="5"/>
      <c r="N85" s="5"/>
      <c r="S85" s="5"/>
      <c r="X85" s="5"/>
    </row>
  </sheetData>
  <mergeCells count="15">
    <mergeCell ref="AS1:AV1"/>
    <mergeCell ref="A82:A83"/>
    <mergeCell ref="B82:B83"/>
    <mergeCell ref="A43:A77"/>
    <mergeCell ref="B59:B69"/>
    <mergeCell ref="B71:B76"/>
    <mergeCell ref="B43:B57"/>
    <mergeCell ref="AN1:AQ1"/>
    <mergeCell ref="AI1:AL1"/>
    <mergeCell ref="Y1:AB1"/>
    <mergeCell ref="AD1:AG1"/>
    <mergeCell ref="A3:A37"/>
    <mergeCell ref="B19:B29"/>
    <mergeCell ref="B31:B36"/>
    <mergeCell ref="B3:B17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BM51"/>
  <sheetViews>
    <sheetView showGridLines="0" zoomScaleNormal="100" workbookViewId="0">
      <pane xSplit="1" topLeftCell="BD1" activePane="topRight" state="frozen"/>
      <selection pane="topRight" activeCell="BH15" sqref="BH15"/>
    </sheetView>
  </sheetViews>
  <sheetFormatPr defaultRowHeight="14.6" outlineLevelCol="1"/>
  <cols>
    <col min="1" max="1" width="48" customWidth="1"/>
    <col min="2" max="2" width="44" customWidth="1"/>
    <col min="3" max="6" width="17.3828125" hidden="1" customWidth="1" outlineLevel="1"/>
    <col min="7" max="7" width="5.3828125" hidden="1" customWidth="1" outlineLevel="1"/>
    <col min="8" max="8" width="8.53515625" bestFit="1" customWidth="1" collapsed="1"/>
    <col min="9" max="9" width="5.3828125" customWidth="1"/>
    <col min="10" max="13" width="17.3828125" hidden="1" customWidth="1" outlineLevel="1"/>
    <col min="14" max="14" width="6.3046875" hidden="1" customWidth="1" outlineLevel="1"/>
    <col min="15" max="15" width="8.53515625" bestFit="1" customWidth="1" collapsed="1"/>
    <col min="16" max="16" width="5.3828125" customWidth="1"/>
    <col min="17" max="20" width="17.3828125" hidden="1" customWidth="1" outlineLevel="1"/>
    <col min="21" max="22" width="16.15234375" hidden="1" customWidth="1" outlineLevel="1"/>
    <col min="23" max="23" width="9.84375" customWidth="1" collapsed="1"/>
    <col min="24" max="24" width="5.3046875" customWidth="1"/>
    <col min="25" max="25" width="10.69140625" hidden="1" customWidth="1" outlineLevel="1"/>
    <col min="26" max="29" width="11.3828125" hidden="1" customWidth="1" outlineLevel="1"/>
    <col min="30" max="30" width="8.84375" customWidth="1" collapsed="1"/>
    <col min="31" max="31" width="4.3828125" customWidth="1"/>
    <col min="32" max="34" width="11.69140625" hidden="1" customWidth="1" outlineLevel="1"/>
    <col min="35" max="35" width="11.3828125" hidden="1" customWidth="1" outlineLevel="1"/>
    <col min="36" max="36" width="8.84375" hidden="1" customWidth="1" outlineLevel="1"/>
    <col min="37" max="37" width="9" customWidth="1" collapsed="1"/>
    <col min="39" max="42" width="11.69140625" customWidth="1" outlineLevel="1"/>
    <col min="43" max="43" width="8.84375" customWidth="1"/>
    <col min="44" max="44" width="11.3046875" customWidth="1"/>
  </cols>
  <sheetData>
    <row r="1" spans="1:65" ht="45.65" customHeight="1">
      <c r="I1" s="5"/>
      <c r="J1" s="620" t="s">
        <v>265</v>
      </c>
      <c r="K1" s="620"/>
      <c r="L1" s="620"/>
      <c r="M1" s="620"/>
      <c r="N1" s="620"/>
      <c r="O1" s="620"/>
      <c r="P1" s="621"/>
      <c r="Q1" s="620"/>
      <c r="R1" s="620"/>
      <c r="S1" s="620"/>
      <c r="T1" s="620"/>
      <c r="U1" s="620"/>
      <c r="V1" s="620"/>
      <c r="W1" s="620"/>
      <c r="X1" s="5"/>
      <c r="AC1" s="5"/>
      <c r="AE1" s="5"/>
      <c r="AJ1" s="5"/>
      <c r="AL1" s="5"/>
      <c r="AM1" s="619" t="s">
        <v>304</v>
      </c>
      <c r="AN1" s="619"/>
      <c r="AO1" s="619"/>
      <c r="AP1" s="619"/>
      <c r="AQ1" s="619"/>
      <c r="AR1" s="619"/>
    </row>
    <row r="2" spans="1:65" ht="29.6" thickBot="1">
      <c r="A2" s="22" t="s">
        <v>72</v>
      </c>
      <c r="B2" s="22" t="s">
        <v>276</v>
      </c>
      <c r="C2" s="23" t="s">
        <v>73</v>
      </c>
      <c r="D2" s="23" t="s">
        <v>74</v>
      </c>
      <c r="E2" s="23" t="s">
        <v>75</v>
      </c>
      <c r="F2" s="23" t="s">
        <v>76</v>
      </c>
      <c r="G2" s="23"/>
      <c r="H2" s="23">
        <v>2018</v>
      </c>
      <c r="I2" s="144"/>
      <c r="J2" s="23" t="s">
        <v>77</v>
      </c>
      <c r="K2" s="23" t="s">
        <v>78</v>
      </c>
      <c r="L2" s="23" t="s">
        <v>79</v>
      </c>
      <c r="M2" s="23" t="s">
        <v>80</v>
      </c>
      <c r="N2" s="23"/>
      <c r="O2" s="23">
        <v>2019</v>
      </c>
      <c r="P2" s="144"/>
      <c r="Q2" s="23" t="s">
        <v>81</v>
      </c>
      <c r="R2" s="23" t="s">
        <v>82</v>
      </c>
      <c r="S2" s="23" t="s">
        <v>83</v>
      </c>
      <c r="T2" s="70" t="s">
        <v>84</v>
      </c>
      <c r="U2" s="70" t="s">
        <v>234</v>
      </c>
      <c r="V2" s="70"/>
      <c r="W2" s="70" t="s">
        <v>224</v>
      </c>
      <c r="X2" s="144"/>
      <c r="Y2" s="70" t="s">
        <v>81</v>
      </c>
      <c r="Z2" s="70" t="s">
        <v>82</v>
      </c>
      <c r="AA2" s="70" t="s">
        <v>83</v>
      </c>
      <c r="AB2" s="70" t="s">
        <v>234</v>
      </c>
      <c r="AC2" s="167"/>
      <c r="AD2" s="70" t="s">
        <v>226</v>
      </c>
      <c r="AE2" s="144"/>
      <c r="AF2" s="23" t="s">
        <v>313</v>
      </c>
      <c r="AG2" s="23" t="s">
        <v>314</v>
      </c>
      <c r="AH2" s="23" t="s">
        <v>315</v>
      </c>
      <c r="AI2" s="70" t="s">
        <v>329</v>
      </c>
      <c r="AJ2" s="168"/>
      <c r="AK2" s="70" t="s">
        <v>330</v>
      </c>
      <c r="AL2" s="229"/>
      <c r="AM2" s="23" t="s">
        <v>283</v>
      </c>
      <c r="AN2" s="23" t="s">
        <v>284</v>
      </c>
      <c r="AO2" s="23" t="s">
        <v>285</v>
      </c>
      <c r="AP2" s="70" t="s">
        <v>286</v>
      </c>
      <c r="AQ2" s="168"/>
      <c r="AR2" s="70" t="s">
        <v>297</v>
      </c>
      <c r="AT2" s="23" t="s">
        <v>331</v>
      </c>
      <c r="AU2" s="23" t="s">
        <v>332</v>
      </c>
      <c r="AV2" s="23" t="s">
        <v>333</v>
      </c>
      <c r="AW2" s="70" t="s">
        <v>334</v>
      </c>
      <c r="AX2" s="168"/>
      <c r="AY2" s="70" t="s">
        <v>335</v>
      </c>
      <c r="BA2" s="23" t="s">
        <v>342</v>
      </c>
      <c r="BB2" s="23" t="s">
        <v>343</v>
      </c>
      <c r="BC2" s="23" t="s">
        <v>344</v>
      </c>
      <c r="BD2" s="70" t="s">
        <v>345</v>
      </c>
      <c r="BE2" s="168"/>
      <c r="BF2" s="70" t="s">
        <v>346</v>
      </c>
      <c r="BH2" s="23" t="s">
        <v>351</v>
      </c>
      <c r="BI2" s="23" t="s">
        <v>352</v>
      </c>
      <c r="BJ2" s="23" t="s">
        <v>356</v>
      </c>
      <c r="BK2" s="70" t="s">
        <v>354</v>
      </c>
      <c r="BL2" s="168"/>
      <c r="BM2" s="70" t="s">
        <v>350</v>
      </c>
    </row>
    <row r="3" spans="1:65" ht="21.75" customHeight="1" thickTop="1">
      <c r="A3" s="2" t="s">
        <v>85</v>
      </c>
      <c r="B3" s="2" t="s">
        <v>288</v>
      </c>
      <c r="C3" s="20">
        <v>658.73822119059207</v>
      </c>
      <c r="D3" s="20">
        <v>1270.6891755594081</v>
      </c>
      <c r="E3" s="20">
        <v>1192.9720308105898</v>
      </c>
      <c r="F3" s="20">
        <v>1603.2582472520558</v>
      </c>
      <c r="G3" s="20"/>
      <c r="H3" s="10">
        <v>4725.7576748126457</v>
      </c>
      <c r="I3" s="20"/>
      <c r="J3" s="20">
        <v>937.7</v>
      </c>
      <c r="K3" s="20">
        <v>1520.1</v>
      </c>
      <c r="L3" s="20">
        <v>1348.4999999999995</v>
      </c>
      <c r="M3" s="20">
        <v>1596.6000000000004</v>
      </c>
      <c r="N3" s="20"/>
      <c r="O3" s="10">
        <f>SUM(J3:M3)</f>
        <v>5402.9</v>
      </c>
      <c r="P3" s="20"/>
      <c r="Q3" s="20">
        <v>933</v>
      </c>
      <c r="R3" s="20">
        <v>1253.0999999999999</v>
      </c>
      <c r="S3" s="20">
        <v>1455.4</v>
      </c>
      <c r="T3" s="20">
        <v>1623</v>
      </c>
      <c r="U3" s="20">
        <f>W3-S3-R3-Q3</f>
        <v>1997.1000000000008</v>
      </c>
      <c r="V3" s="74"/>
      <c r="W3" s="80">
        <v>5638.6</v>
      </c>
      <c r="X3" s="75"/>
      <c r="Y3" s="20">
        <v>771.7</v>
      </c>
      <c r="Z3" s="20">
        <v>1457</v>
      </c>
      <c r="AA3" s="20">
        <v>1620.7000000000003</v>
      </c>
      <c r="AB3" s="76">
        <v>1397.6</v>
      </c>
      <c r="AC3" s="75"/>
      <c r="AD3" s="80">
        <f>SUM(Y3:AB3)</f>
        <v>5247</v>
      </c>
      <c r="AE3" s="20"/>
      <c r="AF3" s="20">
        <v>1420.1</v>
      </c>
      <c r="AG3" s="20">
        <v>2033.4</v>
      </c>
      <c r="AH3" s="20">
        <v>2055.3999999999996</v>
      </c>
      <c r="AI3" s="76">
        <f>AK3-SUM(AF3:AH3)</f>
        <v>2032.8000000000002</v>
      </c>
      <c r="AJ3" s="75"/>
      <c r="AK3" s="80">
        <v>7541.7</v>
      </c>
      <c r="AL3" s="20"/>
      <c r="AM3" s="20">
        <v>1882</v>
      </c>
      <c r="AN3" s="20">
        <v>2377.4</v>
      </c>
      <c r="AO3" s="20">
        <v>2422.1000000000004</v>
      </c>
      <c r="AP3" s="76">
        <f>AR3-SUM(AM3:AO3)</f>
        <v>2441.7000000000007</v>
      </c>
      <c r="AQ3" s="75"/>
      <c r="AR3" s="80">
        <v>9123.2000000000007</v>
      </c>
      <c r="AT3" s="20">
        <v>2064.1</v>
      </c>
      <c r="AU3" s="20">
        <v>2424.5</v>
      </c>
      <c r="AV3" s="20">
        <v>2430.3999999999996</v>
      </c>
      <c r="AW3" s="76">
        <f>AY3-SUM(AT3:AV3)</f>
        <v>2521.2999999999993</v>
      </c>
      <c r="AX3" s="75"/>
      <c r="AY3" s="80">
        <v>9440.2999999999993</v>
      </c>
      <c r="BA3" s="20">
        <v>2261.3000000000002</v>
      </c>
      <c r="BB3" s="20">
        <v>2589.1999999999998</v>
      </c>
      <c r="BC3" s="20">
        <v>2770.8999999999996</v>
      </c>
      <c r="BD3" s="76">
        <v>2681.3999999999996</v>
      </c>
      <c r="BE3" s="75"/>
      <c r="BF3" s="80">
        <v>10302.799999999999</v>
      </c>
      <c r="BH3" s="20">
        <v>2345.6999999999998</v>
      </c>
      <c r="BI3" s="20"/>
      <c r="BJ3" s="20"/>
      <c r="BK3" s="76"/>
      <c r="BL3" s="75"/>
      <c r="BM3" s="80"/>
    </row>
    <row r="4" spans="1:65" ht="21.75" customHeight="1" thickBot="1">
      <c r="A4" s="159" t="s">
        <v>86</v>
      </c>
      <c r="B4" s="159" t="s">
        <v>87</v>
      </c>
      <c r="C4" s="160">
        <v>312.08168291396805</v>
      </c>
      <c r="D4" s="160">
        <v>677.79049880603202</v>
      </c>
      <c r="E4" s="160">
        <v>563.85418834215477</v>
      </c>
      <c r="F4" s="161">
        <v>816.06862021203574</v>
      </c>
      <c r="G4" s="161"/>
      <c r="H4" s="162">
        <v>2369.8949902741906</v>
      </c>
      <c r="I4" s="158"/>
      <c r="J4" s="160">
        <f>435.2+0.1</f>
        <v>435.3</v>
      </c>
      <c r="K4" s="160">
        <f>765.6</f>
        <v>765.6</v>
      </c>
      <c r="L4" s="160">
        <v>622.1</v>
      </c>
      <c r="M4" s="161">
        <v>772.4</v>
      </c>
      <c r="N4" s="161"/>
      <c r="O4" s="163">
        <f t="shared" ref="O4:O6" si="0">SUM(J4:M4)</f>
        <v>2595.4</v>
      </c>
      <c r="P4" s="158"/>
      <c r="Q4" s="160">
        <v>382.80000000000007</v>
      </c>
      <c r="R4" s="160">
        <v>567.70000000000005</v>
      </c>
      <c r="S4" s="160">
        <v>630.90000000000009</v>
      </c>
      <c r="T4" s="160">
        <v>743</v>
      </c>
      <c r="U4" s="160">
        <f>W4-S4-R4-Q4</f>
        <v>875.0999999999998</v>
      </c>
      <c r="V4" s="160"/>
      <c r="W4" s="162">
        <v>2456.5</v>
      </c>
      <c r="X4" s="166"/>
      <c r="Y4" s="160">
        <v>331.6</v>
      </c>
      <c r="Z4" s="160">
        <v>660</v>
      </c>
      <c r="AA4" s="160">
        <v>713.50000000000045</v>
      </c>
      <c r="AB4" s="161">
        <v>587.79999999999995</v>
      </c>
      <c r="AC4" s="166"/>
      <c r="AD4" s="162">
        <f>SUM(Y4:AB4)</f>
        <v>2292.9000000000005</v>
      </c>
      <c r="AE4" s="166"/>
      <c r="AF4" s="160">
        <v>610.4</v>
      </c>
      <c r="AG4" s="160">
        <v>959.10000000000014</v>
      </c>
      <c r="AH4" s="160">
        <v>1011.3999999999996</v>
      </c>
      <c r="AI4" s="161">
        <f t="shared" ref="AI4:AI16" si="1">AK4-SUM(AF4:AH4)</f>
        <v>944.40000000000055</v>
      </c>
      <c r="AJ4" s="166"/>
      <c r="AK4" s="162">
        <v>3525.3</v>
      </c>
      <c r="AL4" s="5"/>
      <c r="AM4" s="160">
        <v>922.8</v>
      </c>
      <c r="AN4" s="160">
        <v>1129.4000000000001</v>
      </c>
      <c r="AO4" s="160">
        <v>1163.1000000000004</v>
      </c>
      <c r="AP4" s="161">
        <f t="shared" ref="AP4:AP16" si="2">AR4-SUM(AM4:AO4)</f>
        <v>1050.0999999999995</v>
      </c>
      <c r="AQ4" s="166"/>
      <c r="AR4" s="162">
        <v>4265.3999999999996</v>
      </c>
      <c r="AT4" s="160">
        <v>958.8</v>
      </c>
      <c r="AU4" s="160">
        <v>1102.0999999999999</v>
      </c>
      <c r="AV4" s="160">
        <v>1173.9999999999995</v>
      </c>
      <c r="AW4" s="161">
        <f>AY4-SUM(AT4:AV4)</f>
        <v>1159.2000000000003</v>
      </c>
      <c r="AX4" s="166"/>
      <c r="AY4" s="162">
        <v>4394.0999999999995</v>
      </c>
      <c r="BA4" s="160">
        <v>1162.8</v>
      </c>
      <c r="BB4" s="160">
        <v>1282.2999999999997</v>
      </c>
      <c r="BC4" s="160">
        <v>1419.9999999999995</v>
      </c>
      <c r="BD4" s="161">
        <v>1318.6</v>
      </c>
      <c r="BE4" s="166"/>
      <c r="BF4" s="162">
        <v>5183.6999999999989</v>
      </c>
      <c r="BH4" s="160">
        <v>1184.5999999999999</v>
      </c>
      <c r="BI4" s="160"/>
      <c r="BJ4" s="160"/>
      <c r="BK4" s="161"/>
      <c r="BL4" s="166"/>
      <c r="BM4" s="162"/>
    </row>
    <row r="5" spans="1:65" ht="21.75" customHeight="1" thickTop="1">
      <c r="A5" s="2" t="s">
        <v>88</v>
      </c>
      <c r="B5" s="2" t="s">
        <v>89</v>
      </c>
      <c r="C5" s="19">
        <v>0.47375675628767527</v>
      </c>
      <c r="D5" s="19">
        <v>0.53340385032212267</v>
      </c>
      <c r="E5" s="19">
        <v>0.47264661180617307</v>
      </c>
      <c r="F5" s="19">
        <v>0.50900634480487272</v>
      </c>
      <c r="G5" s="19"/>
      <c r="H5" s="230">
        <v>0.50148466200568476</v>
      </c>
      <c r="I5" s="19"/>
      <c r="J5" s="19">
        <f>J4/J3</f>
        <v>0.46422096619387865</v>
      </c>
      <c r="K5" s="19">
        <f t="shared" ref="K5:S5" si="3">K4/K3</f>
        <v>0.50365107558713251</v>
      </c>
      <c r="L5" s="19">
        <f t="shared" si="3"/>
        <v>0.46132740081572132</v>
      </c>
      <c r="M5" s="19">
        <f t="shared" si="3"/>
        <v>0.48377802831015898</v>
      </c>
      <c r="N5" s="19"/>
      <c r="O5" s="230">
        <f t="shared" si="3"/>
        <v>0.48037165226082296</v>
      </c>
      <c r="P5" s="19"/>
      <c r="Q5" s="8">
        <f t="shared" si="3"/>
        <v>0.41028938906752421</v>
      </c>
      <c r="R5" s="8">
        <f t="shared" si="3"/>
        <v>0.45303646955550242</v>
      </c>
      <c r="S5" s="8">
        <f t="shared" si="3"/>
        <v>0.43348907516833862</v>
      </c>
      <c r="T5" s="8">
        <f t="shared" ref="T5:U5" si="4">T4/T3</f>
        <v>0.45779420825631545</v>
      </c>
      <c r="U5" s="8">
        <f t="shared" si="4"/>
        <v>0.43818536878473757</v>
      </c>
      <c r="V5" s="19"/>
      <c r="W5" s="231">
        <f t="shared" ref="W5" si="5">W4/W3</f>
        <v>0.43565778739403394</v>
      </c>
      <c r="X5" s="5"/>
      <c r="Y5" s="8">
        <v>0.42970066087857978</v>
      </c>
      <c r="Z5" s="77">
        <f t="shared" ref="Z5:AA5" si="6">Z4/Z3</f>
        <v>0.4529855868222375</v>
      </c>
      <c r="AA5" s="77">
        <f t="shared" si="6"/>
        <v>0.44024187079656957</v>
      </c>
      <c r="AB5" s="77">
        <v>0.40799999999999997</v>
      </c>
      <c r="AC5" s="5"/>
      <c r="AD5" s="231">
        <f t="shared" ref="AD5" si="7">AD4/AD3</f>
        <v>0.43699256718124652</v>
      </c>
      <c r="AE5" s="5"/>
      <c r="AF5" s="77">
        <f t="shared" ref="AF5" si="8">AF4/AF3</f>
        <v>0.42982888528976831</v>
      </c>
      <c r="AG5" s="77">
        <f>AG4/AG3</f>
        <v>0.47167305989967545</v>
      </c>
      <c r="AH5" s="77">
        <f t="shared" ref="AH5" si="9">AH4/AH3</f>
        <v>0.49206967013719949</v>
      </c>
      <c r="AI5" s="77">
        <f t="shared" si="1"/>
        <v>-0.92613058744168342</v>
      </c>
      <c r="AJ5" s="5"/>
      <c r="AK5" s="231">
        <f>AK4/AK3</f>
        <v>0.46744102788495967</v>
      </c>
      <c r="AL5" s="5"/>
      <c r="AM5" s="77">
        <f t="shared" ref="AM5" si="10">AM4/AM3</f>
        <v>0.49032943676939422</v>
      </c>
      <c r="AN5" s="77">
        <f>AN4/AN3</f>
        <v>0.47505678472280644</v>
      </c>
      <c r="AO5" s="77">
        <f>AO4/AO3</f>
        <v>0.48020312951570959</v>
      </c>
      <c r="AP5" s="77">
        <f>AP4/AP3</f>
        <v>0.43006921407216248</v>
      </c>
      <c r="AQ5" s="5"/>
      <c r="AR5" s="231">
        <f>AR4/AR3</f>
        <v>0.46753332164152922</v>
      </c>
      <c r="AT5" s="77">
        <f t="shared" ref="AT5:AV5" si="11">AT4/AT3</f>
        <v>0.46451237827624631</v>
      </c>
      <c r="AU5" s="77">
        <f t="shared" si="11"/>
        <v>0.4545679521550835</v>
      </c>
      <c r="AV5" s="77">
        <f t="shared" si="11"/>
        <v>0.48304805793285044</v>
      </c>
      <c r="AW5" s="77">
        <f>AW4/AW3</f>
        <v>0.45976282076706487</v>
      </c>
      <c r="AX5" s="5"/>
      <c r="AY5" s="231">
        <f>AY4/AY3</f>
        <v>0.4654619026937703</v>
      </c>
      <c r="BA5" s="77">
        <f>BA4/BA3</f>
        <v>0.51421748551718027</v>
      </c>
      <c r="BB5" s="77">
        <f>BB4/BB3</f>
        <v>0.49524949791441364</v>
      </c>
      <c r="BC5" s="77">
        <v>0.51246887292937304</v>
      </c>
      <c r="BD5" s="77">
        <v>0.49175803684642355</v>
      </c>
      <c r="BE5" s="5"/>
      <c r="BF5" s="231">
        <v>0.50313507007803693</v>
      </c>
      <c r="BH5" s="77">
        <f>BH4/BH3</f>
        <v>0.50500916570746468</v>
      </c>
      <c r="BI5" s="77"/>
      <c r="BJ5" s="77"/>
      <c r="BK5" s="77"/>
      <c r="BL5" s="5"/>
      <c r="BM5" s="231"/>
    </row>
    <row r="6" spans="1:65" ht="21.75" customHeight="1">
      <c r="A6" s="1" t="s">
        <v>90</v>
      </c>
      <c r="B6" s="1" t="s">
        <v>91</v>
      </c>
      <c r="C6" s="20">
        <v>-385.73942563875119</v>
      </c>
      <c r="D6" s="20">
        <v>-500.93376673085311</v>
      </c>
      <c r="E6" s="20">
        <v>-560.04882558875966</v>
      </c>
      <c r="F6" s="20">
        <v>-668.86237655755485</v>
      </c>
      <c r="G6" s="20"/>
      <c r="H6" s="7">
        <v>-2115.6843945159189</v>
      </c>
      <c r="I6" s="20"/>
      <c r="J6" s="20">
        <v>-544.4</v>
      </c>
      <c r="K6" s="20">
        <v>-615.5</v>
      </c>
      <c r="L6" s="20">
        <v>-573.5999999999998</v>
      </c>
      <c r="M6" s="20">
        <v>-662.20000000000027</v>
      </c>
      <c r="N6" s="20"/>
      <c r="O6" s="7">
        <f t="shared" si="0"/>
        <v>-2395.7000000000003</v>
      </c>
      <c r="P6" s="20"/>
      <c r="Q6" s="20">
        <v>-634.1</v>
      </c>
      <c r="R6" s="20">
        <v>-602.9</v>
      </c>
      <c r="S6" s="20">
        <v>-640.4</v>
      </c>
      <c r="T6" s="20" t="s">
        <v>92</v>
      </c>
      <c r="U6" s="20">
        <f>W6-S6-R6-Q6</f>
        <v>-977.4</v>
      </c>
      <c r="V6" s="20"/>
      <c r="W6" s="78">
        <v>-2854.8</v>
      </c>
      <c r="X6" s="5"/>
      <c r="Y6" s="20">
        <v>-596.4</v>
      </c>
      <c r="Z6" s="20">
        <v>-608.59999999999991</v>
      </c>
      <c r="AA6" s="20">
        <v>-696.87</v>
      </c>
      <c r="AB6" s="39">
        <v>-747.3</v>
      </c>
      <c r="AC6" s="5"/>
      <c r="AD6" s="78">
        <f>SUM(Y6:AB6)</f>
        <v>-2649.17</v>
      </c>
      <c r="AE6" s="5"/>
      <c r="AF6" s="20">
        <v>-711.80000000000018</v>
      </c>
      <c r="AG6" s="20">
        <v>-878.3</v>
      </c>
      <c r="AH6" s="20">
        <v>-953.80000000000007</v>
      </c>
      <c r="AI6" s="39">
        <f t="shared" si="1"/>
        <v>-1040.5</v>
      </c>
      <c r="AJ6" s="5"/>
      <c r="AK6" s="78">
        <f>-(3204.9+379.5)</f>
        <v>-3584.4</v>
      </c>
      <c r="AM6" s="20">
        <v>-947.6</v>
      </c>
      <c r="AN6" s="20">
        <v>-1027.4999999999998</v>
      </c>
      <c r="AO6" s="20">
        <v>-1118.2</v>
      </c>
      <c r="AP6" s="39">
        <f t="shared" si="2"/>
        <v>-1121.3000000000002</v>
      </c>
      <c r="AQ6" s="5"/>
      <c r="AR6" s="78">
        <f>-3815.1-399.5</f>
        <v>-4214.6000000000004</v>
      </c>
      <c r="AT6" s="20">
        <v>-1039.3000000000002</v>
      </c>
      <c r="AU6" s="20">
        <v>-1059.9000000000001</v>
      </c>
      <c r="AV6" s="20">
        <v>-1062.2000000000003</v>
      </c>
      <c r="AW6" s="39">
        <f>AY6-SUM(AT6:AV6)</f>
        <v>-1090.4999999999991</v>
      </c>
      <c r="AX6" s="5"/>
      <c r="AY6" s="78">
        <v>-4251.8999999999996</v>
      </c>
      <c r="BA6" s="20">
        <v>-1027.9000000000001</v>
      </c>
      <c r="BB6" s="20">
        <v>-1038.4999999999998</v>
      </c>
      <c r="BC6" s="20">
        <v>-1091.5</v>
      </c>
      <c r="BD6" s="39">
        <v>-1027.4000000000005</v>
      </c>
      <c r="BE6" s="5"/>
      <c r="BF6" s="78">
        <v>-4185.3</v>
      </c>
      <c r="BH6" s="20">
        <v>-1024.8</v>
      </c>
      <c r="BI6" s="20"/>
      <c r="BJ6" s="20"/>
      <c r="BK6" s="39"/>
      <c r="BL6" s="5"/>
      <c r="BM6" s="78"/>
    </row>
    <row r="7" spans="1:65" ht="21.75" customHeight="1">
      <c r="A7" s="1" t="s">
        <v>93</v>
      </c>
      <c r="B7" s="1" t="s">
        <v>299</v>
      </c>
      <c r="C7" s="20">
        <v>-4.3657270656960003</v>
      </c>
      <c r="D7" s="20">
        <v>70.885160116815996</v>
      </c>
      <c r="E7" s="20">
        <v>26.320671539190005</v>
      </c>
      <c r="F7" s="20">
        <v>25.343573420977009</v>
      </c>
      <c r="G7" s="20"/>
      <c r="H7" s="7">
        <v>118.28367801128701</v>
      </c>
      <c r="I7" s="20"/>
      <c r="J7" s="20">
        <v>-2.8</v>
      </c>
      <c r="K7" s="20">
        <v>8.6999999999999993</v>
      </c>
      <c r="L7" s="20">
        <f>-2.6</f>
        <v>-2.6</v>
      </c>
      <c r="M7" s="20">
        <v>4.0999999999999996</v>
      </c>
      <c r="N7" s="20"/>
      <c r="O7" s="7">
        <v>7.4</v>
      </c>
      <c r="P7" s="20"/>
      <c r="Q7" s="20">
        <v>-12.799999999999997</v>
      </c>
      <c r="R7" s="20">
        <v>-197.1</v>
      </c>
      <c r="S7" s="20">
        <v>10.709920396987808</v>
      </c>
      <c r="T7" s="20" t="s">
        <v>92</v>
      </c>
      <c r="U7" s="20">
        <f>W7-S7-R7-Q7</f>
        <v>-29.199560757366797</v>
      </c>
      <c r="V7" s="20"/>
      <c r="W7" s="78">
        <v>-228.38964036037899</v>
      </c>
      <c r="X7" s="5"/>
      <c r="Y7" s="20">
        <v>-22.9</v>
      </c>
      <c r="Z7" s="20">
        <v>-181.43815820616999</v>
      </c>
      <c r="AA7" s="20">
        <v>-11.8</v>
      </c>
      <c r="AB7" s="39">
        <v>-6.9</v>
      </c>
      <c r="AC7" s="5"/>
      <c r="AD7" s="78">
        <f t="shared" ref="AD7:AD8" si="12">SUM(Y7:AB7)</f>
        <v>-223.03815820617001</v>
      </c>
      <c r="AE7" s="5"/>
      <c r="AF7" s="20">
        <v>0.38616674823608577</v>
      </c>
      <c r="AG7" s="20">
        <v>-3.0000000000000036</v>
      </c>
      <c r="AH7" s="20">
        <v>15.900000000000009</v>
      </c>
      <c r="AI7" s="39">
        <f t="shared" si="1"/>
        <v>50.013833251763913</v>
      </c>
      <c r="AJ7" s="5"/>
      <c r="AK7" s="78">
        <f>118.4-60.2+5.1</f>
        <v>63.300000000000004</v>
      </c>
      <c r="AM7" s="20">
        <v>-31.7</v>
      </c>
      <c r="AN7" s="20">
        <v>-70.599999999999994</v>
      </c>
      <c r="AO7" s="20">
        <v>-20.899999999999995</v>
      </c>
      <c r="AP7" s="39">
        <f t="shared" si="2"/>
        <v>21.09999999999998</v>
      </c>
      <c r="AQ7" s="5"/>
      <c r="AR7" s="78">
        <f>62.5-119.9-44.7</f>
        <v>-102.10000000000001</v>
      </c>
      <c r="AT7" s="20">
        <v>13.5</v>
      </c>
      <c r="AU7" s="20">
        <f>38.5+7.9-9.3</f>
        <v>37.099999999999994</v>
      </c>
      <c r="AV7" s="20">
        <v>-35.600000000000016</v>
      </c>
      <c r="AW7" s="595">
        <f>AY7-SUM(AT7:AV7)</f>
        <v>26.700000000000024</v>
      </c>
      <c r="AX7" s="5"/>
      <c r="AY7" s="78">
        <v>41.7</v>
      </c>
      <c r="BA7" s="20">
        <v>15.7</v>
      </c>
      <c r="BB7" s="20">
        <v>18.700000000000006</v>
      </c>
      <c r="BC7" s="20">
        <v>-0.50000000000000577</v>
      </c>
      <c r="BD7" s="595">
        <v>3.3000000000000043</v>
      </c>
      <c r="BE7" s="5"/>
      <c r="BF7" s="78">
        <v>37.200000000000003</v>
      </c>
      <c r="BH7" s="20">
        <v>55.7</v>
      </c>
      <c r="BI7" s="20"/>
      <c r="BJ7" s="20"/>
      <c r="BK7" s="595"/>
      <c r="BL7" s="5"/>
      <c r="BM7" s="78"/>
    </row>
    <row r="8" spans="1:65" ht="21.75" customHeight="1" thickBot="1">
      <c r="A8" s="159" t="s">
        <v>94</v>
      </c>
      <c r="B8" s="159" t="s">
        <v>95</v>
      </c>
      <c r="C8" s="160">
        <v>-78.023469790479112</v>
      </c>
      <c r="D8" s="160">
        <v>247.74189219199491</v>
      </c>
      <c r="E8" s="160">
        <v>30.126034292585132</v>
      </c>
      <c r="F8" s="161">
        <v>172.5498170754579</v>
      </c>
      <c r="G8" s="161"/>
      <c r="H8" s="162">
        <v>372.49427376955873</v>
      </c>
      <c r="I8" s="158"/>
      <c r="J8" s="160">
        <v>-111.9</v>
      </c>
      <c r="K8" s="160">
        <v>158.80000000000001</v>
      </c>
      <c r="L8" s="160">
        <v>45.9</v>
      </c>
      <c r="M8" s="161">
        <v>114.3</v>
      </c>
      <c r="N8" s="161"/>
      <c r="O8" s="163">
        <v>207.1</v>
      </c>
      <c r="P8" s="158"/>
      <c r="Q8" s="160">
        <v>-264.09999999999991</v>
      </c>
      <c r="R8" s="160">
        <v>-232.3</v>
      </c>
      <c r="S8" s="160">
        <v>1.2099203969879113</v>
      </c>
      <c r="T8" s="160">
        <v>-31</v>
      </c>
      <c r="U8" s="160">
        <f>W8-S8-R8-Q8</f>
        <v>-131.49956075736799</v>
      </c>
      <c r="V8" s="160"/>
      <c r="W8" s="162">
        <v>-626.68964036038005</v>
      </c>
      <c r="X8" s="166"/>
      <c r="Y8" s="160">
        <v>-287.69999999999993</v>
      </c>
      <c r="Z8" s="160">
        <v>-130.03815820616995</v>
      </c>
      <c r="AA8" s="160">
        <v>5</v>
      </c>
      <c r="AB8" s="161">
        <v>-166.4</v>
      </c>
      <c r="AC8" s="166"/>
      <c r="AD8" s="162">
        <f t="shared" si="12"/>
        <v>-579.13815820616992</v>
      </c>
      <c r="AE8" s="166"/>
      <c r="AF8" s="160">
        <f>AF4+AF6+AF7</f>
        <v>-101.01383325176411</v>
      </c>
      <c r="AG8" s="160">
        <f>AG4+AG6+AG7</f>
        <v>77.800000000000182</v>
      </c>
      <c r="AH8" s="160">
        <f>AH7+AH6+AH4</f>
        <v>73.499999999999545</v>
      </c>
      <c r="AI8" s="161">
        <f t="shared" si="1"/>
        <v>-46.186166748235614</v>
      </c>
      <c r="AJ8" s="166"/>
      <c r="AK8" s="162">
        <v>4.0999999999999996</v>
      </c>
      <c r="AM8" s="160">
        <f>AM4+AM6+AM7</f>
        <v>-56.500000000000071</v>
      </c>
      <c r="AN8" s="160">
        <v>31.300000000000239</v>
      </c>
      <c r="AO8" s="160">
        <v>24.000000000000266</v>
      </c>
      <c r="AP8" s="161">
        <f t="shared" si="2"/>
        <v>-50.100000000000435</v>
      </c>
      <c r="AQ8" s="166"/>
      <c r="AR8" s="162">
        <v>-51.3</v>
      </c>
      <c r="AT8" s="160">
        <v>-67.000000000000142</v>
      </c>
      <c r="AU8" s="160">
        <v>79.3</v>
      </c>
      <c r="AV8" s="160">
        <v>76.199999999999378</v>
      </c>
      <c r="AW8" s="161">
        <f>AY8-SUM(AT8:AV8)</f>
        <v>95.400000000000261</v>
      </c>
      <c r="AX8" s="166"/>
      <c r="AY8" s="162">
        <v>183.89999999999949</v>
      </c>
      <c r="BA8" s="160">
        <v>150.6</v>
      </c>
      <c r="BB8" s="160">
        <v>262.49999999999983</v>
      </c>
      <c r="BC8" s="160">
        <v>327.99999999999943</v>
      </c>
      <c r="BD8" s="161">
        <v>294.49999999999977</v>
      </c>
      <c r="BE8" s="166"/>
      <c r="BF8" s="162">
        <v>1035.599999999999</v>
      </c>
      <c r="BH8" s="160">
        <f>SUM(BH6:BH7,BH4)</f>
        <v>215.5</v>
      </c>
      <c r="BI8" s="160"/>
      <c r="BJ8" s="160"/>
      <c r="BK8" s="161"/>
      <c r="BL8" s="166"/>
      <c r="BM8" s="162"/>
    </row>
    <row r="9" spans="1:65" ht="21.75" customHeight="1" thickTop="1">
      <c r="A9" s="2" t="s">
        <v>96</v>
      </c>
      <c r="B9" s="2" t="s">
        <v>96</v>
      </c>
      <c r="C9" s="20">
        <v>29.526924299461967</v>
      </c>
      <c r="D9" s="20">
        <v>378.10721795059851</v>
      </c>
      <c r="E9" s="20">
        <v>164.23802867008948</v>
      </c>
      <c r="F9" s="20">
        <v>331.86925135506897</v>
      </c>
      <c r="G9" s="20"/>
      <c r="H9" s="234">
        <v>903.84142227521886</v>
      </c>
      <c r="I9" s="20"/>
      <c r="J9" s="20">
        <f>J8-J16</f>
        <v>45.299999999999983</v>
      </c>
      <c r="K9" s="20">
        <f>K8-K16</f>
        <v>297.10000000000002</v>
      </c>
      <c r="L9" s="20">
        <f t="shared" ref="L9:U9" si="13">L8-L16</f>
        <v>194.4</v>
      </c>
      <c r="M9" s="20">
        <f t="shared" si="13"/>
        <v>277.50000000000006</v>
      </c>
      <c r="N9" s="20"/>
      <c r="O9" s="234">
        <f t="shared" si="13"/>
        <v>814.30000000000007</v>
      </c>
      <c r="P9" s="20"/>
      <c r="Q9" s="7">
        <f t="shared" si="13"/>
        <v>-105.27999999999992</v>
      </c>
      <c r="R9" s="7">
        <f t="shared" si="13"/>
        <v>-69.100000000000023</v>
      </c>
      <c r="S9" s="7">
        <f t="shared" si="13"/>
        <v>166.10992039698792</v>
      </c>
      <c r="T9" s="7">
        <v>117</v>
      </c>
      <c r="U9" s="7">
        <f t="shared" si="13"/>
        <v>19.480439242632031</v>
      </c>
      <c r="V9" s="20"/>
      <c r="W9" s="233">
        <f t="shared" ref="W9" si="14">W8-W16</f>
        <v>11.210359639619924</v>
      </c>
      <c r="X9" s="5"/>
      <c r="Y9" s="7">
        <v>-141.69999999999993</v>
      </c>
      <c r="Z9" s="78">
        <f>Z8-Z16</f>
        <v>21.961841793830047</v>
      </c>
      <c r="AA9" s="78">
        <f>AA8-AA16</f>
        <v>146.20000000000002</v>
      </c>
      <c r="AB9" s="78">
        <f>AB8-AB16</f>
        <v>-38.900000000000006</v>
      </c>
      <c r="AC9" s="5"/>
      <c r="AD9" s="233">
        <f>SUM(Y9:AB9)</f>
        <v>-12.438158206169874</v>
      </c>
      <c r="AE9" s="5"/>
      <c r="AF9" s="78">
        <f t="shared" ref="AF9" si="15">AF8-AF16</f>
        <v>31.086166748235854</v>
      </c>
      <c r="AG9" s="78">
        <f>AG8-AG16</f>
        <v>225.50000000000023</v>
      </c>
      <c r="AH9" s="78">
        <f t="shared" ref="AH9" si="16">AH8-AH16</f>
        <v>211.89999999999952</v>
      </c>
      <c r="AI9" s="78">
        <f t="shared" si="1"/>
        <v>96.913833251764345</v>
      </c>
      <c r="AJ9" s="5"/>
      <c r="AK9" s="233">
        <f>AK8-AK16</f>
        <v>565.4</v>
      </c>
      <c r="AM9" s="78">
        <f t="shared" ref="AM9" si="17">AM8-AM16</f>
        <v>89.29999999999994</v>
      </c>
      <c r="AN9" s="78">
        <v>179.00000000000023</v>
      </c>
      <c r="AO9" s="78">
        <f>AO8-AO16</f>
        <v>172.90000000000023</v>
      </c>
      <c r="AP9" s="78">
        <f t="shared" si="2"/>
        <v>89.699999999999704</v>
      </c>
      <c r="AQ9" s="5"/>
      <c r="AR9" s="233">
        <f>AR8-AR16</f>
        <v>530.90000000000009</v>
      </c>
      <c r="AT9" s="78">
        <f t="shared" ref="AT9:AV9" si="18">AT8-AT16</f>
        <v>88.599999999999852</v>
      </c>
      <c r="AU9" s="78">
        <f t="shared" si="18"/>
        <v>223.8</v>
      </c>
      <c r="AV9" s="78">
        <f t="shared" si="18"/>
        <v>229.49999999999937</v>
      </c>
      <c r="AW9" s="78">
        <f>AW8-AW16</f>
        <v>236.50000000000023</v>
      </c>
      <c r="AX9" s="5"/>
      <c r="AY9" s="233">
        <f>AY8-AY16</f>
        <v>778.39999999999952</v>
      </c>
      <c r="BA9" s="78">
        <v>300.5</v>
      </c>
      <c r="BB9" s="78">
        <v>406.9</v>
      </c>
      <c r="BC9" s="78">
        <v>478.99999999999943</v>
      </c>
      <c r="BD9" s="78">
        <v>448.2999999999995</v>
      </c>
      <c r="BE9" s="5"/>
      <c r="BF9" s="233">
        <v>1634.6999999999989</v>
      </c>
      <c r="BH9" s="78">
        <f>BH8-BH16</f>
        <v>377</v>
      </c>
      <c r="BI9" s="78"/>
      <c r="BJ9" s="78"/>
      <c r="BK9" s="78"/>
      <c r="BL9" s="5"/>
      <c r="BM9" s="233"/>
    </row>
    <row r="10" spans="1:65" ht="21.75" customHeight="1">
      <c r="A10" s="1" t="s">
        <v>97</v>
      </c>
      <c r="B10" s="1" t="s">
        <v>98</v>
      </c>
      <c r="C10" s="19">
        <v>4.4823456950919764E-2</v>
      </c>
      <c r="D10" s="19">
        <v>0.29756074516345871</v>
      </c>
      <c r="E10" s="19">
        <v>0.13767131536059107</v>
      </c>
      <c r="F10" s="19">
        <v>0.20699675297094808</v>
      </c>
      <c r="G10" s="19"/>
      <c r="H10" s="8">
        <v>0.19125852074314242</v>
      </c>
      <c r="I10" s="19"/>
      <c r="J10" s="19">
        <f>J9/J3</f>
        <v>4.8309693931961162E-2</v>
      </c>
      <c r="K10" s="19">
        <f t="shared" ref="K10:S10" si="19">K9/K3</f>
        <v>0.19544766791658447</v>
      </c>
      <c r="L10" s="19">
        <f t="shared" si="19"/>
        <v>0.14416017797552841</v>
      </c>
      <c r="M10" s="19">
        <f t="shared" si="19"/>
        <v>0.17380683953400977</v>
      </c>
      <c r="N10" s="19"/>
      <c r="O10" s="8">
        <f t="shared" si="19"/>
        <v>0.15071535656776919</v>
      </c>
      <c r="P10" s="19"/>
      <c r="Q10" s="8">
        <f t="shared" si="19"/>
        <v>-0.11284030010718105</v>
      </c>
      <c r="R10" s="8">
        <f t="shared" si="19"/>
        <v>-5.5143244753012549E-2</v>
      </c>
      <c r="S10" s="8">
        <f t="shared" si="19"/>
        <v>0.11413351683179052</v>
      </c>
      <c r="T10" s="8">
        <f t="shared" ref="T10:U10" si="20">T9/T3</f>
        <v>7.2088724584103508E-2</v>
      </c>
      <c r="U10" s="8">
        <f t="shared" si="20"/>
        <v>9.7543634483160703E-3</v>
      </c>
      <c r="V10" s="19"/>
      <c r="W10" s="77">
        <f t="shared" ref="W10" si="21">W9/W3</f>
        <v>1.9881459297733345E-3</v>
      </c>
      <c r="X10" s="5"/>
      <c r="Y10" s="232">
        <f>Y9/Y3</f>
        <v>-0.18362057794479711</v>
      </c>
      <c r="Z10" s="232">
        <f t="shared" ref="Z10:AB10" si="22">Z9/Z3</f>
        <v>1.5073329988901886E-2</v>
      </c>
      <c r="AA10" s="232">
        <f t="shared" si="22"/>
        <v>9.0207934842969087E-2</v>
      </c>
      <c r="AB10" s="232">
        <f t="shared" si="22"/>
        <v>-2.7833428734974248E-2</v>
      </c>
      <c r="AC10" s="5"/>
      <c r="AD10" s="77">
        <f t="shared" ref="AD10" si="23">AD9/AD3</f>
        <v>-2.3705275788393127E-3</v>
      </c>
      <c r="AE10" s="5"/>
      <c r="AF10" s="232">
        <f t="shared" ref="AF10" si="24">AF9/AF3</f>
        <v>2.1890125165999474E-2</v>
      </c>
      <c r="AG10" s="232">
        <f>AG9/AG3</f>
        <v>0.11089800334415276</v>
      </c>
      <c r="AH10" s="232">
        <f t="shared" ref="AH10" si="25">AH9/AH3</f>
        <v>0.10309428821640536</v>
      </c>
      <c r="AI10" s="232">
        <f t="shared" si="1"/>
        <v>-0.16091258233908526</v>
      </c>
      <c r="AJ10" s="5"/>
      <c r="AK10" s="77">
        <f>AK9/AK3</f>
        <v>7.4969834387472317E-2</v>
      </c>
      <c r="AM10" s="232">
        <f t="shared" ref="AM10" si="26">AM9/AM3</f>
        <v>4.7449521785334715E-2</v>
      </c>
      <c r="AN10" s="232">
        <v>7.5292336165559109E-2</v>
      </c>
      <c r="AO10" s="232">
        <f>AO9/AO3</f>
        <v>7.1384335906857777E-2</v>
      </c>
      <c r="AP10" s="232">
        <f>AP9/AP3</f>
        <v>3.6736699840275083E-2</v>
      </c>
      <c r="AQ10" s="5"/>
      <c r="AR10" s="77">
        <f>AR9/AR3</f>
        <v>5.8192300947036132E-2</v>
      </c>
      <c r="AT10" s="232">
        <f t="shared" ref="AT10:AV10" si="27">AT9/AT3</f>
        <v>4.2924276924567538E-2</v>
      </c>
      <c r="AU10" s="232">
        <f t="shared" si="27"/>
        <v>9.2307692307692313E-2</v>
      </c>
      <c r="AV10" s="232">
        <f t="shared" si="27"/>
        <v>9.4428900592494813E-2</v>
      </c>
      <c r="AW10" s="232">
        <f>AW9/AW3</f>
        <v>9.3800817038829296E-2</v>
      </c>
      <c r="AX10" s="5"/>
      <c r="AY10" s="77">
        <f>AY9/AY3</f>
        <v>8.2455006726481109E-2</v>
      </c>
      <c r="BA10" s="232">
        <f>BA9/BA3</f>
        <v>0.1328881616769115</v>
      </c>
      <c r="BB10" s="232">
        <f>BB9/BB3</f>
        <v>0.15715278850610229</v>
      </c>
      <c r="BC10" s="232">
        <v>0.17286802122054187</v>
      </c>
      <c r="BD10" s="232">
        <v>0.16718878197956275</v>
      </c>
      <c r="BE10" s="5"/>
      <c r="BF10" s="77">
        <v>0.15866560546647504</v>
      </c>
      <c r="BH10" s="232">
        <f>BH9/BH3</f>
        <v>0.16071961461397452</v>
      </c>
      <c r="BI10" s="232"/>
      <c r="BJ10" s="232"/>
      <c r="BK10" s="232"/>
      <c r="BL10" s="5"/>
      <c r="BM10" s="77"/>
    </row>
    <row r="11" spans="1:65" ht="21.75" customHeight="1">
      <c r="A11" s="1" t="s">
        <v>99</v>
      </c>
      <c r="B11" s="1" t="s">
        <v>303</v>
      </c>
      <c r="C11" s="20">
        <v>-15.571235721007991</v>
      </c>
      <c r="D11" s="20">
        <v>-28.73783225716538</v>
      </c>
      <c r="E11" s="20">
        <v>-33.717151152647659</v>
      </c>
      <c r="F11" s="20">
        <v>-38.059389345415852</v>
      </c>
      <c r="G11" s="20"/>
      <c r="H11" s="7">
        <v>-116.08560847623687</v>
      </c>
      <c r="I11" s="20"/>
      <c r="J11" s="20">
        <v>-24.6</v>
      </c>
      <c r="K11" s="20">
        <v>-37.200000000000003</v>
      </c>
      <c r="L11" s="20">
        <v>-39.6</v>
      </c>
      <c r="M11" s="20">
        <v>-0.4</v>
      </c>
      <c r="N11" s="20"/>
      <c r="O11" s="7">
        <v>-101.8</v>
      </c>
      <c r="P11" s="20"/>
      <c r="Q11" s="20">
        <v>-83</v>
      </c>
      <c r="R11" s="20">
        <v>-119.7</v>
      </c>
      <c r="S11" s="20">
        <v>-45.9</v>
      </c>
      <c r="T11" s="20" t="s">
        <v>92</v>
      </c>
      <c r="U11" s="20">
        <f>W11-S11-R11-Q11</f>
        <v>-93</v>
      </c>
      <c r="V11" s="20"/>
      <c r="W11" s="78">
        <v>-341.59999999999997</v>
      </c>
      <c r="X11" s="5"/>
      <c r="Y11" s="20">
        <v>-106.1</v>
      </c>
      <c r="Z11" s="20">
        <v>-85.90000000000002</v>
      </c>
      <c r="AA11" s="20">
        <v>-46.6</v>
      </c>
      <c r="AB11" s="39">
        <v>-70.7</v>
      </c>
      <c r="AC11" s="5"/>
      <c r="AD11" s="78">
        <f>SUM(Y11:AB11)</f>
        <v>-309.3</v>
      </c>
      <c r="AE11" s="5"/>
      <c r="AF11" s="20">
        <v>-29.099999999999994</v>
      </c>
      <c r="AG11" s="20">
        <v>-35.400000000000006</v>
      </c>
      <c r="AH11" s="20">
        <v>-40.899999999999984</v>
      </c>
      <c r="AI11" s="39">
        <f t="shared" si="1"/>
        <v>-47</v>
      </c>
      <c r="AJ11" s="5"/>
      <c r="AK11" s="78">
        <f>42.4-195.2+0.4</f>
        <v>-152.39999999999998</v>
      </c>
      <c r="AM11" s="20">
        <v>-98</v>
      </c>
      <c r="AN11" s="20">
        <v>-88.6</v>
      </c>
      <c r="AO11" s="20">
        <v>-89</v>
      </c>
      <c r="AP11" s="39">
        <f t="shared" si="2"/>
        <v>-71.999999999999943</v>
      </c>
      <c r="AQ11" s="5"/>
      <c r="AR11" s="78">
        <f>54-401.9+0.3</f>
        <v>-347.59999999999997</v>
      </c>
      <c r="AT11" s="20">
        <v>-87.1</v>
      </c>
      <c r="AU11" s="20">
        <f>49.2-102.5</f>
        <v>-53.3</v>
      </c>
      <c r="AV11" s="20">
        <v>-104.4</v>
      </c>
      <c r="AW11" s="39">
        <f t="shared" ref="AW11:AW13" si="28">AY11-SUM(AT11:AV11)</f>
        <v>-77.299999999999983</v>
      </c>
      <c r="AX11" s="5"/>
      <c r="AY11" s="78">
        <v>-322.09999999999997</v>
      </c>
      <c r="BA11" s="20">
        <v>-103.8</v>
      </c>
      <c r="BB11" s="20">
        <v>-137.70000000000002</v>
      </c>
      <c r="BC11" s="20">
        <v>-126.09999999999997</v>
      </c>
      <c r="BD11" s="39">
        <v>250.7</v>
      </c>
      <c r="BE11" s="5"/>
      <c r="BF11" s="78">
        <v>-116.89999999999998</v>
      </c>
      <c r="BH11" s="20">
        <v>-137.4</v>
      </c>
      <c r="BI11" s="20"/>
      <c r="BJ11" s="20"/>
      <c r="BK11" s="39"/>
      <c r="BL11" s="5"/>
      <c r="BM11" s="78"/>
    </row>
    <row r="12" spans="1:65" ht="21.75" customHeight="1" thickBot="1">
      <c r="A12" s="159" t="s">
        <v>301</v>
      </c>
      <c r="B12" s="159" t="s">
        <v>302</v>
      </c>
      <c r="C12" s="164">
        <v>-93.594705511487106</v>
      </c>
      <c r="D12" s="164">
        <v>219.00405993482951</v>
      </c>
      <c r="E12" s="164">
        <v>-3.5911168600625274</v>
      </c>
      <c r="F12" s="165">
        <v>134.49042773004203</v>
      </c>
      <c r="G12" s="165"/>
      <c r="H12" s="165">
        <v>256.40866529332186</v>
      </c>
      <c r="I12" s="158"/>
      <c r="J12" s="164">
        <v>-136.5</v>
      </c>
      <c r="K12" s="164">
        <v>121.6</v>
      </c>
      <c r="L12" s="164">
        <v>6.3</v>
      </c>
      <c r="M12" s="165">
        <v>113.9</v>
      </c>
      <c r="N12" s="165"/>
      <c r="O12" s="164">
        <v>105.3</v>
      </c>
      <c r="P12" s="158"/>
      <c r="Q12" s="164">
        <v>-347.09999999999985</v>
      </c>
      <c r="R12" s="164">
        <v>-352</v>
      </c>
      <c r="S12" s="164">
        <v>-44.7</v>
      </c>
      <c r="T12" s="164" t="s">
        <v>92</v>
      </c>
      <c r="U12" s="164">
        <f>W12-S12-R12-Q12</f>
        <v>-224.48964036038006</v>
      </c>
      <c r="V12" s="164"/>
      <c r="W12" s="165">
        <v>-968.28964036037996</v>
      </c>
      <c r="X12" s="166"/>
      <c r="Y12" s="164">
        <v>-393.79999999999995</v>
      </c>
      <c r="Z12" s="164">
        <v>-215.93815820616996</v>
      </c>
      <c r="AA12" s="164">
        <v>-41.6</v>
      </c>
      <c r="AB12" s="165">
        <v>-237.1</v>
      </c>
      <c r="AC12" s="166"/>
      <c r="AD12" s="162">
        <f t="shared" ref="AD12:AD16" si="29">SUM(Y12:AB12)</f>
        <v>-888.43815820616999</v>
      </c>
      <c r="AE12" s="166"/>
      <c r="AF12" s="164">
        <f>AF8+AF11</f>
        <v>-130.11383325176411</v>
      </c>
      <c r="AG12" s="164">
        <f>AG11+AG8</f>
        <v>42.400000000000176</v>
      </c>
      <c r="AH12" s="164">
        <f t="shared" ref="AH12" si="30">AH11+AH8</f>
        <v>32.599999999999561</v>
      </c>
      <c r="AI12" s="165">
        <f t="shared" si="1"/>
        <v>-93.186166748235649</v>
      </c>
      <c r="AJ12" s="477"/>
      <c r="AK12" s="162">
        <v>-148.30000000000001</v>
      </c>
      <c r="AM12" s="164">
        <f>AM8+AM11</f>
        <v>-154.50000000000006</v>
      </c>
      <c r="AN12" s="164">
        <v>-57.299999999999763</v>
      </c>
      <c r="AO12" s="164">
        <v>-64.999999999999744</v>
      </c>
      <c r="AP12" s="165">
        <f t="shared" si="2"/>
        <v>-122.10000000000042</v>
      </c>
      <c r="AQ12" s="166"/>
      <c r="AR12" s="162">
        <v>-398.9</v>
      </c>
      <c r="AT12" s="164">
        <v>-154.10000000000014</v>
      </c>
      <c r="AU12" s="164">
        <v>26</v>
      </c>
      <c r="AV12" s="164">
        <v>-28.800000000000637</v>
      </c>
      <c r="AW12" s="165">
        <f t="shared" si="28"/>
        <v>18.700000000000273</v>
      </c>
      <c r="AX12" s="166"/>
      <c r="AY12" s="162">
        <v>-138.2000000000005</v>
      </c>
      <c r="BA12" s="164">
        <v>46.800000000000153</v>
      </c>
      <c r="BB12" s="164">
        <v>124.79999999999984</v>
      </c>
      <c r="BC12" s="164">
        <v>201.89999999999944</v>
      </c>
      <c r="BD12" s="165">
        <v>545.19999999999959</v>
      </c>
      <c r="BE12" s="166"/>
      <c r="BF12" s="162">
        <v>918.69999999999902</v>
      </c>
      <c r="BH12" s="164">
        <f>BH8+BH11</f>
        <v>78.099999999999994</v>
      </c>
      <c r="BI12" s="164"/>
      <c r="BJ12" s="164"/>
      <c r="BK12" s="165"/>
      <c r="BL12" s="166"/>
      <c r="BM12" s="162"/>
    </row>
    <row r="13" spans="1:65" ht="21.75" customHeight="1" thickTop="1">
      <c r="A13" s="2" t="s">
        <v>102</v>
      </c>
      <c r="B13" s="2" t="s">
        <v>103</v>
      </c>
      <c r="C13" s="20">
        <v>-6.2299786235039996</v>
      </c>
      <c r="D13" s="20">
        <v>-2.4454509464960008</v>
      </c>
      <c r="E13" s="20">
        <v>-15.708794821889997</v>
      </c>
      <c r="F13" s="20">
        <v>-8.4053372771780026</v>
      </c>
      <c r="G13" s="20"/>
      <c r="H13" s="7">
        <v>-32.889561669068001</v>
      </c>
      <c r="I13" s="20"/>
      <c r="J13" s="20">
        <v>20.8</v>
      </c>
      <c r="K13" s="20">
        <v>-18.8</v>
      </c>
      <c r="L13" s="20">
        <v>-18.8</v>
      </c>
      <c r="M13" s="20">
        <v>9.6999999999999993</v>
      </c>
      <c r="N13" s="20"/>
      <c r="O13" s="7">
        <v>-9.6999999999999993</v>
      </c>
      <c r="P13" s="20"/>
      <c r="Q13" s="20">
        <v>31.099999999999998</v>
      </c>
      <c r="R13" s="20">
        <v>2.2000000000000002</v>
      </c>
      <c r="S13" s="20">
        <v>2.2999999999999998</v>
      </c>
      <c r="T13" s="20" t="s">
        <v>92</v>
      </c>
      <c r="U13" s="20">
        <f>W13-S13-R13-Q13</f>
        <v>-56.2</v>
      </c>
      <c r="V13" s="20"/>
      <c r="W13" s="78">
        <v>-20.6</v>
      </c>
      <c r="X13" s="5"/>
      <c r="Y13" s="20">
        <v>25.8</v>
      </c>
      <c r="Z13" s="20">
        <v>4.3</v>
      </c>
      <c r="AA13" s="20">
        <v>7.2</v>
      </c>
      <c r="AB13" s="39">
        <v>-58</v>
      </c>
      <c r="AC13" s="5"/>
      <c r="AD13" s="78">
        <f t="shared" si="29"/>
        <v>-20.699999999999996</v>
      </c>
      <c r="AE13" s="5"/>
      <c r="AF13" s="20">
        <v>-3</v>
      </c>
      <c r="AG13" s="20">
        <v>-1.7000000000000002</v>
      </c>
      <c r="AH13" s="20">
        <v>-20.100000000000001</v>
      </c>
      <c r="AI13" s="39">
        <f t="shared" si="1"/>
        <v>-43.5</v>
      </c>
      <c r="AJ13" s="5"/>
      <c r="AK13" s="78">
        <v>-68.3</v>
      </c>
      <c r="AM13" s="20">
        <v>-5.6</v>
      </c>
      <c r="AN13" s="20">
        <v>3.2</v>
      </c>
      <c r="AO13" s="20">
        <v>-10.299999999999999</v>
      </c>
      <c r="AP13" s="39">
        <f t="shared" si="2"/>
        <v>10.1</v>
      </c>
      <c r="AQ13" s="5"/>
      <c r="AR13" s="78">
        <v>-2.6</v>
      </c>
      <c r="AT13" s="20">
        <v>2.1</v>
      </c>
      <c r="AU13" s="20">
        <v>-11.1</v>
      </c>
      <c r="AV13" s="20">
        <v>11.8</v>
      </c>
      <c r="AW13" s="39">
        <f t="shared" si="28"/>
        <v>10.7</v>
      </c>
      <c r="AX13" s="5"/>
      <c r="AY13" s="78">
        <v>13.5</v>
      </c>
      <c r="BA13" s="20">
        <v>3.7</v>
      </c>
      <c r="BB13" s="20">
        <v>129.69999999999999</v>
      </c>
      <c r="BC13" s="20">
        <v>-43.5</v>
      </c>
      <c r="BD13" s="39">
        <v>14.600000000000023</v>
      </c>
      <c r="BE13" s="5"/>
      <c r="BF13" s="78">
        <v>104.5</v>
      </c>
      <c r="BH13" s="20">
        <v>15.1</v>
      </c>
      <c r="BI13" s="20"/>
      <c r="BJ13" s="20"/>
      <c r="BK13" s="39"/>
      <c r="BL13" s="5"/>
      <c r="BM13" s="78"/>
    </row>
    <row r="14" spans="1:65" ht="21.75" customHeight="1" thickBot="1">
      <c r="A14" s="159" t="s">
        <v>298</v>
      </c>
      <c r="B14" s="159" t="s">
        <v>300</v>
      </c>
      <c r="C14" s="164">
        <v>-99.824684134991102</v>
      </c>
      <c r="D14" s="164">
        <v>216.5586089883335</v>
      </c>
      <c r="E14" s="164">
        <v>-19.299911681952523</v>
      </c>
      <c r="F14" s="165">
        <v>126.08509045286402</v>
      </c>
      <c r="G14" s="165"/>
      <c r="H14" s="165">
        <v>223.51910362425386</v>
      </c>
      <c r="I14" s="158"/>
      <c r="J14" s="164">
        <v>-115.7</v>
      </c>
      <c r="K14" s="164">
        <v>102.8</v>
      </c>
      <c r="L14" s="164">
        <v>-12.5</v>
      </c>
      <c r="M14" s="165">
        <v>121</v>
      </c>
      <c r="N14" s="165"/>
      <c r="O14" s="164">
        <v>95.6</v>
      </c>
      <c r="P14" s="158"/>
      <c r="Q14" s="164">
        <v>-315.99999999999989</v>
      </c>
      <c r="R14" s="164">
        <v>-349.8</v>
      </c>
      <c r="S14" s="164">
        <v>-42.4</v>
      </c>
      <c r="T14" s="164" t="s">
        <v>92</v>
      </c>
      <c r="U14" s="164">
        <f>W14--S14-R14-Q14</f>
        <v>-365.48964036038012</v>
      </c>
      <c r="V14" s="164"/>
      <c r="W14" s="165">
        <v>-988.88964036037999</v>
      </c>
      <c r="X14" s="166"/>
      <c r="Y14" s="164">
        <v>-367.99999999999994</v>
      </c>
      <c r="Z14" s="164">
        <v>-211.63815820616995</v>
      </c>
      <c r="AA14" s="164">
        <v>-34.4</v>
      </c>
      <c r="AB14" s="165">
        <v>-295.10000000000002</v>
      </c>
      <c r="AC14" s="166"/>
      <c r="AD14" s="162">
        <f t="shared" si="29"/>
        <v>-909.13815820616992</v>
      </c>
      <c r="AE14" s="166"/>
      <c r="AF14" s="164">
        <f>AF12+AF13</f>
        <v>-133.11383325176411</v>
      </c>
      <c r="AG14" s="164">
        <f>AG12+AG13</f>
        <v>40.700000000000173</v>
      </c>
      <c r="AH14" s="164">
        <f t="shared" ref="AH14" si="31">AH12+AH13</f>
        <v>12.499999999999559</v>
      </c>
      <c r="AI14" s="165">
        <f t="shared" si="1"/>
        <v>-136.68616674823562</v>
      </c>
      <c r="AJ14" s="477"/>
      <c r="AK14" s="162">
        <v>-216.6</v>
      </c>
      <c r="AM14" s="164">
        <f>AM12+AM13</f>
        <v>-160.10000000000005</v>
      </c>
      <c r="AN14" s="164">
        <v>-54.09999999999976</v>
      </c>
      <c r="AO14" s="164">
        <v>-75.299999999999741</v>
      </c>
      <c r="AP14" s="165">
        <f t="shared" si="2"/>
        <v>-112.00000000000045</v>
      </c>
      <c r="AQ14" s="166"/>
      <c r="AR14" s="162">
        <f>-401.5</f>
        <v>-401.5</v>
      </c>
      <c r="AT14" s="164">
        <v>-152.00000000000014</v>
      </c>
      <c r="AU14" s="164">
        <v>14.9</v>
      </c>
      <c r="AV14" s="164">
        <v>-17.000000000000636</v>
      </c>
      <c r="AW14" s="165">
        <f>AY14-SUM(AT14:AV14)</f>
        <v>29.400000000000261</v>
      </c>
      <c r="AX14" s="166"/>
      <c r="AY14" s="162">
        <v>-124.7000000000005</v>
      </c>
      <c r="BA14" s="164">
        <v>50.500000000000156</v>
      </c>
      <c r="BB14" s="164">
        <v>254.49999999999983</v>
      </c>
      <c r="BC14" s="164">
        <v>158.39999999999944</v>
      </c>
      <c r="BD14" s="600">
        <v>559.79999999999961</v>
      </c>
      <c r="BE14" s="166"/>
      <c r="BF14" s="162">
        <v>1023.199999999999</v>
      </c>
      <c r="BH14" s="164">
        <f>BH12+BH13</f>
        <v>93.199999999999989</v>
      </c>
      <c r="BI14" s="164"/>
      <c r="BJ14" s="164"/>
      <c r="BK14" s="600"/>
      <c r="BL14" s="166"/>
      <c r="BM14" s="162"/>
    </row>
    <row r="15" spans="1:65" ht="21.75" customHeight="1" thickTop="1">
      <c r="C15" s="6"/>
      <c r="D15" s="6"/>
      <c r="E15" s="6"/>
      <c r="F15" s="6"/>
      <c r="G15" s="6"/>
      <c r="H15" s="6"/>
      <c r="I15" s="73"/>
      <c r="J15" s="6"/>
      <c r="K15" s="6"/>
      <c r="L15" s="6"/>
      <c r="M15" s="6"/>
      <c r="N15" s="6"/>
      <c r="O15" s="6"/>
      <c r="P15" s="73"/>
      <c r="Q15" s="6"/>
      <c r="R15" s="6"/>
      <c r="S15" s="6"/>
      <c r="T15" s="6"/>
      <c r="U15" s="6"/>
      <c r="V15" s="73"/>
      <c r="W15" s="6"/>
      <c r="X15" s="5"/>
      <c r="Y15" s="6"/>
      <c r="Z15" s="6"/>
      <c r="AA15" s="6"/>
      <c r="AB15" s="6"/>
      <c r="AC15" s="5"/>
      <c r="AD15" s="6"/>
      <c r="AE15" s="5"/>
      <c r="AF15" s="6"/>
      <c r="AG15" s="6"/>
      <c r="AH15" s="6"/>
      <c r="AI15" s="6"/>
      <c r="AJ15" s="5"/>
      <c r="AK15" s="6"/>
      <c r="AM15" s="6"/>
      <c r="AN15" s="6"/>
      <c r="AO15" s="6"/>
      <c r="AP15" s="6"/>
      <c r="AQ15" s="5"/>
      <c r="AR15" s="6"/>
      <c r="AT15" s="6"/>
      <c r="AU15" s="6"/>
      <c r="AV15" s="6"/>
      <c r="AW15" s="6"/>
      <c r="AX15" s="5"/>
      <c r="AY15" s="6"/>
      <c r="BA15" s="6"/>
      <c r="BC15" s="6"/>
      <c r="BD15" s="6"/>
      <c r="BE15" s="5"/>
      <c r="BF15" s="6"/>
      <c r="BH15" s="6"/>
      <c r="BJ15" s="6"/>
      <c r="BK15" s="6"/>
      <c r="BL15" s="5"/>
      <c r="BM15" s="6"/>
    </row>
    <row r="16" spans="1:65" ht="21.75" customHeight="1">
      <c r="A16" s="1" t="s">
        <v>104</v>
      </c>
      <c r="B16" s="1" t="s">
        <v>105</v>
      </c>
      <c r="C16" s="21">
        <v>-107.55039408994108</v>
      </c>
      <c r="D16" s="21">
        <v>-130.36532575860363</v>
      </c>
      <c r="E16" s="21">
        <v>-134.11199437750435</v>
      </c>
      <c r="F16" s="21">
        <v>-159.31943427961107</v>
      </c>
      <c r="G16" s="39"/>
      <c r="H16" s="9">
        <v>-531.34714850566013</v>
      </c>
      <c r="I16" s="39"/>
      <c r="J16" s="21">
        <v>-157.19999999999999</v>
      </c>
      <c r="K16" s="21">
        <v>-138.30000000000001</v>
      </c>
      <c r="L16" s="21">
        <f>-444-K16-J16</f>
        <v>-148.5</v>
      </c>
      <c r="M16" s="21">
        <f>-607.2-L16-K16-J16</f>
        <v>-163.20000000000005</v>
      </c>
      <c r="N16" s="39"/>
      <c r="O16" s="9">
        <f>SUM(J16:M16)</f>
        <v>-607.20000000000005</v>
      </c>
      <c r="P16" s="39"/>
      <c r="Q16" s="21">
        <v>-158.82</v>
      </c>
      <c r="R16" s="21">
        <v>-163.19999999999999</v>
      </c>
      <c r="S16" s="21">
        <v>-164.9</v>
      </c>
      <c r="T16" s="21">
        <f>-T9+T8</f>
        <v>-148</v>
      </c>
      <c r="U16" s="21">
        <f>W16-S16-R16-Q16</f>
        <v>-150.98000000000002</v>
      </c>
      <c r="V16" s="20"/>
      <c r="W16" s="81">
        <v>-637.9</v>
      </c>
      <c r="X16" s="5"/>
      <c r="Y16" s="21">
        <f>-166.2+20.2</f>
        <v>-146</v>
      </c>
      <c r="Z16" s="21">
        <f>-175.8+23.8</f>
        <v>-152</v>
      </c>
      <c r="AA16" s="21">
        <f>-141.3+0.1</f>
        <v>-141.20000000000002</v>
      </c>
      <c r="AB16" s="79">
        <f>-127.6+0.1</f>
        <v>-127.5</v>
      </c>
      <c r="AC16" s="5"/>
      <c r="AD16" s="81">
        <f t="shared" si="29"/>
        <v>-566.70000000000005</v>
      </c>
      <c r="AE16" s="5"/>
      <c r="AF16" s="21">
        <v>-132.09999999999997</v>
      </c>
      <c r="AG16" s="21">
        <f>-279.8-AF16</f>
        <v>-147.70000000000005</v>
      </c>
      <c r="AH16" s="478">
        <f>-418.2-AG16-AF16</f>
        <v>-138.39999999999998</v>
      </c>
      <c r="AI16" s="79">
        <f t="shared" si="1"/>
        <v>-143.09999999999997</v>
      </c>
      <c r="AJ16" s="5"/>
      <c r="AK16" s="81">
        <v>-561.29999999999995</v>
      </c>
      <c r="AM16" s="21">
        <v>-145.80000000000001</v>
      </c>
      <c r="AN16" s="21">
        <v>-147.69999999999999</v>
      </c>
      <c r="AO16" s="21">
        <v>-148.89999999999998</v>
      </c>
      <c r="AP16" s="79">
        <f t="shared" si="2"/>
        <v>-139.80000000000007</v>
      </c>
      <c r="AQ16" s="5"/>
      <c r="AR16" s="81">
        <f>-582.2</f>
        <v>-582.20000000000005</v>
      </c>
      <c r="AT16" s="21">
        <v>-155.6</v>
      </c>
      <c r="AU16" s="21">
        <v>-144.5</v>
      </c>
      <c r="AV16" s="21">
        <v>-153.30000000000001</v>
      </c>
      <c r="AW16" s="79">
        <f>AY16-SUM(AT16:AV16)</f>
        <v>-141.09999999999997</v>
      </c>
      <c r="AX16" s="5"/>
      <c r="AY16" s="81">
        <v>-594.5</v>
      </c>
      <c r="BA16" s="21">
        <v>-149.9</v>
      </c>
      <c r="BB16" s="21">
        <v>-144.4</v>
      </c>
      <c r="BC16" s="21">
        <v>-151</v>
      </c>
      <c r="BD16" s="79">
        <f t="shared" ref="BD16" si="32">BF16-SUM(BA16:BC16)</f>
        <v>-153.80000000000001</v>
      </c>
      <c r="BE16" s="5"/>
      <c r="BF16" s="81">
        <v>-599.1</v>
      </c>
      <c r="BH16" s="21">
        <v>-161.49999999999997</v>
      </c>
      <c r="BI16" s="21"/>
      <c r="BJ16" s="21"/>
      <c r="BK16" s="79"/>
      <c r="BL16" s="5"/>
      <c r="BM16" s="81"/>
    </row>
    <row r="17" spans="1:63">
      <c r="E17" s="3"/>
      <c r="I17" s="5"/>
      <c r="J17" s="3"/>
      <c r="K17" s="3"/>
      <c r="P17" s="5"/>
      <c r="Q17" s="3"/>
      <c r="R17" s="3"/>
      <c r="V17" s="5"/>
      <c r="W17" s="3"/>
      <c r="AC17" s="5"/>
      <c r="AE17" s="5"/>
      <c r="AJ17" s="5"/>
      <c r="AQ17" s="5"/>
    </row>
    <row r="18" spans="1:63">
      <c r="H18" s="3"/>
      <c r="I18" s="5"/>
      <c r="P18" s="5"/>
      <c r="AJ18" s="5"/>
      <c r="AQ18" s="5"/>
    </row>
    <row r="19" spans="1:63" ht="58.2" customHeight="1">
      <c r="A19" s="622" t="s">
        <v>106</v>
      </c>
      <c r="B19" s="622"/>
      <c r="C19" s="72"/>
      <c r="D19" s="72"/>
      <c r="E19" s="72"/>
      <c r="F19" s="72"/>
      <c r="G19" s="72"/>
      <c r="H19" s="72"/>
      <c r="I19" s="5"/>
      <c r="P19" s="5"/>
      <c r="Y19" s="3"/>
      <c r="Z19" s="3"/>
      <c r="AA19" s="3"/>
      <c r="AB19" s="3"/>
      <c r="AI19" s="3"/>
      <c r="BC19" s="3"/>
      <c r="BD19" s="3"/>
      <c r="BJ19" s="3"/>
      <c r="BK19" s="3"/>
    </row>
    <row r="20" spans="1:63" ht="58.2" customHeight="1">
      <c r="A20" s="622" t="s">
        <v>225</v>
      </c>
      <c r="B20" s="622"/>
      <c r="C20" s="72"/>
      <c r="D20" s="72"/>
      <c r="E20" s="72"/>
      <c r="F20" s="72"/>
      <c r="G20" s="72"/>
      <c r="H20" s="72"/>
    </row>
    <row r="21" spans="1:63" ht="69.650000000000006" customHeight="1">
      <c r="A21" s="618" t="s">
        <v>312</v>
      </c>
      <c r="B21" s="618"/>
      <c r="D21" s="4"/>
      <c r="E21" s="4"/>
      <c r="F21" s="4"/>
      <c r="H21" s="3"/>
    </row>
    <row r="22" spans="1:63" ht="69.650000000000006" customHeight="1">
      <c r="A22" s="618"/>
      <c r="B22" s="618"/>
      <c r="D22" s="4"/>
      <c r="E22" s="4"/>
      <c r="F22" s="4"/>
      <c r="H22" s="67"/>
    </row>
    <row r="23" spans="1:63">
      <c r="D23" s="4"/>
      <c r="E23" s="4"/>
      <c r="F23" s="4"/>
      <c r="H23" s="66"/>
    </row>
    <row r="24" spans="1:63">
      <c r="D24" s="4"/>
      <c r="E24" s="4"/>
      <c r="F24" s="4"/>
    </row>
    <row r="25" spans="1:63">
      <c r="D25" s="4"/>
      <c r="E25" s="4"/>
      <c r="F25" s="4"/>
    </row>
    <row r="26" spans="1:63">
      <c r="D26" s="4"/>
      <c r="E26" s="4"/>
      <c r="F26" s="4"/>
    </row>
    <row r="27" spans="1:63">
      <c r="D27" s="4"/>
      <c r="E27" s="4"/>
      <c r="F27" s="4"/>
    </row>
    <row r="28" spans="1:63">
      <c r="D28" s="4"/>
      <c r="E28" s="4"/>
      <c r="F28" s="4"/>
    </row>
    <row r="29" spans="1:63">
      <c r="D29" s="4"/>
      <c r="E29" s="4"/>
      <c r="F29" s="4"/>
    </row>
    <row r="30" spans="1:63">
      <c r="D30" s="4"/>
      <c r="E30" s="4"/>
      <c r="F30" s="4"/>
    </row>
    <row r="31" spans="1:63">
      <c r="D31" s="4"/>
      <c r="E31" s="4"/>
      <c r="F31" s="4"/>
    </row>
    <row r="32" spans="1:63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  <row r="36" spans="4:6">
      <c r="D36" s="4"/>
      <c r="E36" s="4"/>
      <c r="F36" s="4"/>
    </row>
    <row r="37" spans="4:6">
      <c r="D37" s="4"/>
      <c r="E37" s="4"/>
      <c r="F37" s="4"/>
    </row>
    <row r="38" spans="4:6">
      <c r="D38" s="4"/>
      <c r="E38" s="4"/>
      <c r="F38" s="4"/>
    </row>
    <row r="39" spans="4:6">
      <c r="D39" s="4"/>
      <c r="E39" s="4"/>
      <c r="F39" s="4"/>
    </row>
    <row r="40" spans="4:6">
      <c r="D40" s="4"/>
      <c r="E40" s="4"/>
      <c r="F40" s="4"/>
    </row>
    <row r="41" spans="4:6">
      <c r="D41" s="4"/>
      <c r="E41" s="4"/>
      <c r="F41" s="4"/>
    </row>
    <row r="42" spans="4:6">
      <c r="D42" s="4"/>
      <c r="E42" s="4"/>
      <c r="F42" s="4"/>
    </row>
    <row r="43" spans="4:6">
      <c r="D43" s="4"/>
      <c r="E43" s="4"/>
      <c r="F43" s="4"/>
    </row>
    <row r="44" spans="4:6">
      <c r="D44" s="4"/>
      <c r="E44" s="4"/>
      <c r="F44" s="4"/>
    </row>
    <row r="45" spans="4:6">
      <c r="D45" s="4"/>
      <c r="E45" s="4"/>
      <c r="F45" s="4"/>
    </row>
    <row r="46" spans="4:6">
      <c r="D46" s="4"/>
      <c r="E46" s="4"/>
      <c r="F46" s="4"/>
    </row>
    <row r="47" spans="4:6">
      <c r="D47" s="4"/>
      <c r="E47" s="4"/>
      <c r="F47" s="4"/>
    </row>
    <row r="48" spans="4:6">
      <c r="D48" s="4"/>
      <c r="E48" s="4"/>
      <c r="F48" s="4"/>
    </row>
    <row r="49" spans="4:6">
      <c r="D49" s="4"/>
      <c r="E49" s="4"/>
      <c r="F49" s="4"/>
    </row>
    <row r="50" spans="4:6">
      <c r="D50" s="4"/>
      <c r="E50" s="4"/>
      <c r="F50" s="4"/>
    </row>
    <row r="51" spans="4:6">
      <c r="D51" s="4"/>
      <c r="E51" s="4"/>
      <c r="F51" s="4"/>
    </row>
  </sheetData>
  <mergeCells count="6">
    <mergeCell ref="A22:B22"/>
    <mergeCell ref="AM1:AR1"/>
    <mergeCell ref="J1:W1"/>
    <mergeCell ref="A19:B19"/>
    <mergeCell ref="A20:B20"/>
    <mergeCell ref="A21:B21"/>
  </mergeCells>
  <phoneticPr fontId="41" type="noConversion"/>
  <conditionalFormatting sqref="B18">
    <cfRule type="cellIs" dxfId="1" priority="4" operator="equal">
      <formula>"ok"</formula>
    </cfRule>
  </conditionalFormatting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91"/>
  <sheetViews>
    <sheetView zoomScale="80" zoomScaleNormal="80" workbookViewId="0">
      <pane xSplit="4" ySplit="2" topLeftCell="T38" activePane="bottomRight" state="frozen"/>
      <selection pane="topRight" activeCell="E1" sqref="E1"/>
      <selection pane="bottomLeft" activeCell="A3" sqref="A3"/>
      <selection pane="bottomRight" activeCell="AR53" sqref="AR53:AT54"/>
    </sheetView>
  </sheetViews>
  <sheetFormatPr defaultRowHeight="14.6" zeroHeight="1" outlineLevelCol="1"/>
  <cols>
    <col min="1" max="2" width="29.69140625" customWidth="1"/>
    <col min="3" max="3" width="9.69140625" bestFit="1" customWidth="1"/>
    <col min="4" max="5" width="9.15234375" style="244"/>
    <col min="7" max="7" width="2.84375" customWidth="1"/>
    <col min="8" max="8" width="10.15234375" bestFit="1" customWidth="1"/>
    <col min="9" max="9" width="2.69140625" customWidth="1"/>
    <col min="10" max="10" width="9.15234375" bestFit="1" customWidth="1"/>
    <col min="14" max="14" width="2.3828125" customWidth="1"/>
    <col min="15" max="15" width="10.69140625" bestFit="1" customWidth="1"/>
    <col min="16" max="16" width="2.84375" customWidth="1"/>
    <col min="17" max="17" width="8.84375" customWidth="1" outlineLevel="1"/>
    <col min="18" max="20" width="9.15234375" customWidth="1" outlineLevel="1"/>
    <col min="21" max="21" width="4.3828125" customWidth="1"/>
    <col min="24" max="25" width="8.84375" outlineLevel="1"/>
    <col min="26" max="26" width="8.84375" customWidth="1" outlineLevel="1"/>
    <col min="27" max="27" width="9.15234375" style="244"/>
    <col min="31" max="33" width="9.23046875" customWidth="1" outlineLevel="1"/>
    <col min="34" max="34" width="9.15234375" style="244"/>
    <col min="36" max="36" width="9.84375" bestFit="1" customWidth="1"/>
    <col min="37" max="37" width="8.84375" style="5"/>
    <col min="38" max="40" width="9.15234375" outlineLevel="1"/>
    <col min="41" max="41" width="9.15234375" style="244"/>
    <col min="43" max="43" width="9.84375" bestFit="1" customWidth="1"/>
    <col min="44" max="54" width="8.84375" style="5"/>
  </cols>
  <sheetData>
    <row r="1" spans="1:54" ht="15" thickBot="1">
      <c r="A1" s="5"/>
      <c r="B1" s="5"/>
      <c r="C1" s="5"/>
      <c r="D1" s="243"/>
      <c r="E1" s="24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243"/>
      <c r="AB1" s="5"/>
      <c r="AC1" s="5"/>
      <c r="AD1" s="5"/>
      <c r="AE1" s="5"/>
      <c r="AF1" s="5"/>
      <c r="AG1" s="5"/>
      <c r="AH1" s="243"/>
      <c r="AI1" s="5"/>
      <c r="AJ1" s="5"/>
      <c r="AL1" s="5"/>
      <c r="AM1" s="5"/>
      <c r="AN1" s="5"/>
      <c r="AO1" s="243"/>
      <c r="AP1" s="5"/>
      <c r="AQ1" s="5"/>
    </row>
    <row r="2" spans="1:54" ht="15" thickBot="1">
      <c r="A2" s="22" t="s">
        <v>72</v>
      </c>
      <c r="B2" s="22" t="s">
        <v>276</v>
      </c>
      <c r="C2" s="238" t="s">
        <v>81</v>
      </c>
      <c r="D2" s="239" t="s">
        <v>82</v>
      </c>
      <c r="E2" s="239" t="s">
        <v>83</v>
      </c>
      <c r="F2" s="240" t="s">
        <v>234</v>
      </c>
      <c r="G2" s="167"/>
      <c r="H2" s="242" t="s">
        <v>266</v>
      </c>
      <c r="I2" s="241"/>
      <c r="J2" s="238" t="s">
        <v>227</v>
      </c>
      <c r="K2" s="239" t="s">
        <v>228</v>
      </c>
      <c r="L2" s="239" t="s">
        <v>229</v>
      </c>
      <c r="M2" s="240" t="s">
        <v>230</v>
      </c>
      <c r="N2" s="167"/>
      <c r="O2" s="242" t="s">
        <v>231</v>
      </c>
      <c r="P2" s="5"/>
      <c r="Q2" s="238" t="s">
        <v>283</v>
      </c>
      <c r="R2" s="239" t="s">
        <v>284</v>
      </c>
      <c r="S2" s="239" t="s">
        <v>285</v>
      </c>
      <c r="T2" s="240" t="s">
        <v>286</v>
      </c>
      <c r="U2" s="5"/>
      <c r="V2" s="242" t="s">
        <v>297</v>
      </c>
      <c r="W2" s="5"/>
      <c r="X2" s="238" t="s">
        <v>331</v>
      </c>
      <c r="Y2" s="239" t="s">
        <v>332</v>
      </c>
      <c r="Z2" s="239" t="s">
        <v>333</v>
      </c>
      <c r="AA2" s="239" t="s">
        <v>334</v>
      </c>
      <c r="AB2" s="5"/>
      <c r="AC2" s="242" t="s">
        <v>335</v>
      </c>
      <c r="AD2" s="5"/>
      <c r="AE2" s="238" t="s">
        <v>342</v>
      </c>
      <c r="AF2" s="239" t="s">
        <v>343</v>
      </c>
      <c r="AG2" s="239" t="s">
        <v>344</v>
      </c>
      <c r="AH2" s="239" t="s">
        <v>345</v>
      </c>
      <c r="AI2" s="5"/>
      <c r="AJ2" s="242" t="s">
        <v>346</v>
      </c>
      <c r="AL2" s="238" t="s">
        <v>351</v>
      </c>
      <c r="AM2" s="239" t="s">
        <v>352</v>
      </c>
      <c r="AN2" s="239" t="s">
        <v>353</v>
      </c>
      <c r="AO2" s="239" t="s">
        <v>354</v>
      </c>
      <c r="AP2" s="5"/>
      <c r="AQ2" s="242" t="s">
        <v>350</v>
      </c>
    </row>
    <row r="3" spans="1:54" s="244" customFormat="1" ht="23.25" customHeight="1" thickTop="1">
      <c r="A3" s="245" t="s">
        <v>306</v>
      </c>
      <c r="B3" s="246" t="s">
        <v>288</v>
      </c>
      <c r="C3" s="395">
        <f>757.2+C10</f>
        <v>771.7</v>
      </c>
      <c r="D3" s="396">
        <f>1403.4+D10</f>
        <v>1457</v>
      </c>
      <c r="E3" s="396">
        <f>1574.7+E10</f>
        <v>1620.7</v>
      </c>
      <c r="F3" s="397">
        <f>H3-E3-D3-C3</f>
        <v>1236.8</v>
      </c>
      <c r="G3" s="252"/>
      <c r="H3" s="293">
        <v>5086.2</v>
      </c>
      <c r="I3" s="252"/>
      <c r="J3" s="485">
        <f>SUM(J4:J10)</f>
        <v>1419.2999999999997</v>
      </c>
      <c r="K3" s="396">
        <f>SUM(K4:K10)</f>
        <v>2034.1999999999998</v>
      </c>
      <c r="L3" s="396">
        <f>SUM(L4:L10)</f>
        <v>2055.2822790214877</v>
      </c>
      <c r="M3" s="397">
        <f>O3-L3-K3-J3</f>
        <v>2032.9177209785125</v>
      </c>
      <c r="N3" s="252"/>
      <c r="O3" s="514">
        <v>7541.7</v>
      </c>
      <c r="P3" s="298"/>
      <c r="Q3" s="400">
        <v>1871.7199999999998</v>
      </c>
      <c r="R3" s="396">
        <v>2377.4</v>
      </c>
      <c r="S3" s="396">
        <v>2422.06</v>
      </c>
      <c r="T3" s="397">
        <f>V3-SUM(Q3:S3)</f>
        <v>2452.119999999999</v>
      </c>
      <c r="U3" s="243"/>
      <c r="V3" s="514">
        <f>SUM(V4:V10)</f>
        <v>9123.2999999999993</v>
      </c>
      <c r="W3" s="243"/>
      <c r="X3" s="567">
        <v>2064.1</v>
      </c>
      <c r="Y3" s="568">
        <v>2424.5</v>
      </c>
      <c r="Z3" s="396">
        <v>2430.3999999999996</v>
      </c>
      <c r="AA3" s="396">
        <f>AC3-SUM(X3:Z3)</f>
        <v>2521.2999999999993</v>
      </c>
      <c r="AB3" s="243"/>
      <c r="AC3" s="514">
        <v>9440.2999999999993</v>
      </c>
      <c r="AD3" s="243"/>
      <c r="AE3" s="567">
        <v>2261.3000000000002</v>
      </c>
      <c r="AF3" s="568">
        <v>2589.1999999999998</v>
      </c>
      <c r="AG3" s="396">
        <v>2770.9000000000005</v>
      </c>
      <c r="AH3" s="396">
        <v>2681.3999999999987</v>
      </c>
      <c r="AI3" s="243"/>
      <c r="AJ3" s="514">
        <v>10302.799999999999</v>
      </c>
      <c r="AK3" s="243"/>
      <c r="AL3" s="567">
        <f>SUM(AL4:AL10)</f>
        <v>2345.6999999999998</v>
      </c>
      <c r="AM3" s="568"/>
      <c r="AN3" s="396"/>
      <c r="AO3" s="396"/>
      <c r="AP3" s="243"/>
      <c r="AQ3" s="514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</row>
    <row r="4" spans="1:54">
      <c r="A4" s="235" t="s">
        <v>289</v>
      </c>
      <c r="B4" s="235" t="s">
        <v>289</v>
      </c>
      <c r="C4" s="272">
        <v>310.7</v>
      </c>
      <c r="D4" s="273">
        <v>861.7</v>
      </c>
      <c r="E4" s="273">
        <v>895.59999999999991</v>
      </c>
      <c r="F4" s="394">
        <f>H4-E4-D4-C4</f>
        <v>560.29999999999973</v>
      </c>
      <c r="G4" s="249"/>
      <c r="H4" s="255">
        <v>2628.2999999999997</v>
      </c>
      <c r="I4" s="249"/>
      <c r="J4" s="272">
        <v>548</v>
      </c>
      <c r="K4" s="273">
        <v>1101.4000000000001</v>
      </c>
      <c r="L4" s="273">
        <v>1043.5822790214872</v>
      </c>
      <c r="M4" s="394">
        <f t="shared" ref="M4:M9" si="0">O4-L4-K4-J4</f>
        <v>810.91772097851253</v>
      </c>
      <c r="N4" s="249"/>
      <c r="O4" s="515">
        <v>3503.9</v>
      </c>
      <c r="P4" s="5"/>
      <c r="Q4" s="272">
        <v>780.42000000000007</v>
      </c>
      <c r="R4" s="273">
        <v>1152.18</v>
      </c>
      <c r="S4" s="501">
        <v>1113.4100000000001</v>
      </c>
      <c r="T4" s="394">
        <f t="shared" ref="T4:T17" si="1">V4-SUM(Q4:S4)</f>
        <v>1013.9899999999998</v>
      </c>
      <c r="U4" s="5"/>
      <c r="V4" s="515">
        <v>4060</v>
      </c>
      <c r="W4" s="5"/>
      <c r="X4" s="272">
        <v>848.40000000000009</v>
      </c>
      <c r="Y4" s="273">
        <v>1040.7</v>
      </c>
      <c r="Z4" s="501">
        <v>1059.6999999999994</v>
      </c>
      <c r="AA4" s="273">
        <f t="shared" ref="AA4:AA17" si="2">AC4-SUM(X4:Z4)</f>
        <v>1051.3000000000002</v>
      </c>
      <c r="AB4" s="5"/>
      <c r="AC4" s="515">
        <v>4000.0999999999995</v>
      </c>
      <c r="AD4" s="5"/>
      <c r="AE4" s="272">
        <v>950.7</v>
      </c>
      <c r="AF4" s="273">
        <v>1110.5999999999999</v>
      </c>
      <c r="AG4" s="501">
        <v>1198.6999999999998</v>
      </c>
      <c r="AH4" s="273">
        <v>1118.3000000000002</v>
      </c>
      <c r="AI4" s="5"/>
      <c r="AJ4" s="515">
        <v>4378.3</v>
      </c>
      <c r="AL4" s="272">
        <v>1037.5999999999999</v>
      </c>
      <c r="AM4" s="273"/>
      <c r="AN4" s="501"/>
      <c r="AO4" s="273"/>
      <c r="AP4" s="5"/>
      <c r="AQ4" s="515"/>
    </row>
    <row r="5" spans="1:54">
      <c r="A5" s="235" t="s">
        <v>290</v>
      </c>
      <c r="B5" s="235" t="s">
        <v>290</v>
      </c>
      <c r="C5" s="276">
        <v>394</v>
      </c>
      <c r="D5" s="277">
        <v>471.8</v>
      </c>
      <c r="E5" s="277">
        <v>506.9</v>
      </c>
      <c r="F5" s="394">
        <f t="shared" ref="F5:F9" si="3">H5-E5-D5-C5</f>
        <v>647.00000000000023</v>
      </c>
      <c r="G5" s="249"/>
      <c r="H5" s="253">
        <v>2019.7</v>
      </c>
      <c r="I5" s="249"/>
      <c r="J5" s="276">
        <v>663.5</v>
      </c>
      <c r="K5" s="277">
        <v>710.19999999999993</v>
      </c>
      <c r="L5" s="277">
        <v>689.90000000000009</v>
      </c>
      <c r="M5" s="394">
        <f t="shared" si="0"/>
        <v>789.70000000000027</v>
      </c>
      <c r="N5" s="249"/>
      <c r="O5" s="516">
        <v>2853.3</v>
      </c>
      <c r="P5" s="5"/>
      <c r="Q5" s="276">
        <v>745.1</v>
      </c>
      <c r="R5" s="277">
        <v>797.5</v>
      </c>
      <c r="S5" s="277">
        <v>763.9</v>
      </c>
      <c r="T5" s="394">
        <f t="shared" si="1"/>
        <v>774.80000000000018</v>
      </c>
      <c r="U5" s="5"/>
      <c r="V5" s="516">
        <v>3081.3</v>
      </c>
      <c r="W5" s="5"/>
      <c r="X5" s="276">
        <v>701</v>
      </c>
      <c r="Y5" s="277">
        <v>768.6</v>
      </c>
      <c r="Z5" s="277">
        <v>676.3</v>
      </c>
      <c r="AA5" s="277">
        <f t="shared" si="2"/>
        <v>695.00000000000045</v>
      </c>
      <c r="AB5" s="5"/>
      <c r="AC5" s="516">
        <v>2840.9</v>
      </c>
      <c r="AD5" s="5"/>
      <c r="AE5" s="276">
        <v>703.1</v>
      </c>
      <c r="AF5" s="277">
        <v>808.5</v>
      </c>
      <c r="AG5" s="277">
        <v>805</v>
      </c>
      <c r="AH5" s="277">
        <v>666.00000000000045</v>
      </c>
      <c r="AI5" s="5"/>
      <c r="AJ5" s="516">
        <v>2982.6000000000004</v>
      </c>
      <c r="AL5" s="276">
        <v>667.6</v>
      </c>
      <c r="AM5" s="277"/>
      <c r="AN5" s="277"/>
      <c r="AO5" s="277"/>
      <c r="AP5" s="5"/>
      <c r="AQ5" s="516"/>
    </row>
    <row r="6" spans="1:54">
      <c r="A6" s="235" t="s">
        <v>291</v>
      </c>
      <c r="B6" s="235" t="s">
        <v>291</v>
      </c>
      <c r="C6" s="276">
        <v>34.5</v>
      </c>
      <c r="D6" s="277">
        <v>48.7</v>
      </c>
      <c r="E6" s="277">
        <v>57.399999999999991</v>
      </c>
      <c r="F6" s="394">
        <f t="shared" si="3"/>
        <v>99.400000000000034</v>
      </c>
      <c r="G6" s="249"/>
      <c r="H6" s="253">
        <v>240</v>
      </c>
      <c r="I6" s="249"/>
      <c r="J6" s="276">
        <v>96.700000000000017</v>
      </c>
      <c r="K6" s="277">
        <v>94.9</v>
      </c>
      <c r="L6" s="277">
        <v>120.49999999999999</v>
      </c>
      <c r="M6" s="394">
        <f t="shared" si="0"/>
        <v>227.9</v>
      </c>
      <c r="N6" s="249"/>
      <c r="O6" s="516">
        <v>540</v>
      </c>
      <c r="P6" s="5"/>
      <c r="Q6" s="276">
        <v>162.4</v>
      </c>
      <c r="R6" s="277">
        <v>187</v>
      </c>
      <c r="S6" s="277">
        <v>228.79999999999995</v>
      </c>
      <c r="T6" s="394">
        <f t="shared" si="1"/>
        <v>316.80000000000007</v>
      </c>
      <c r="U6" s="5"/>
      <c r="V6" s="516">
        <v>895</v>
      </c>
      <c r="W6" s="5"/>
      <c r="X6" s="276">
        <v>240.9</v>
      </c>
      <c r="Y6" s="277">
        <v>256.39999999999998</v>
      </c>
      <c r="Z6" s="277">
        <v>277.00000000000006</v>
      </c>
      <c r="AA6" s="277">
        <f t="shared" si="2"/>
        <v>316.70000000000005</v>
      </c>
      <c r="AB6" s="5"/>
      <c r="AC6" s="516">
        <v>1091</v>
      </c>
      <c r="AD6" s="5"/>
      <c r="AE6" s="276">
        <v>220</v>
      </c>
      <c r="AF6" s="277">
        <v>236.3</v>
      </c>
      <c r="AG6" s="277">
        <v>277.2</v>
      </c>
      <c r="AH6" s="277">
        <v>315.29999999999995</v>
      </c>
      <c r="AI6" s="5"/>
      <c r="AJ6" s="516">
        <v>1048.8</v>
      </c>
      <c r="AL6" s="276">
        <v>197.79999999999998</v>
      </c>
      <c r="AM6" s="277"/>
      <c r="AN6" s="277"/>
      <c r="AO6" s="277"/>
      <c r="AP6" s="5"/>
      <c r="AQ6" s="516"/>
    </row>
    <row r="7" spans="1:54">
      <c r="A7" s="235" t="s">
        <v>307</v>
      </c>
      <c r="B7" s="235" t="s">
        <v>307</v>
      </c>
      <c r="C7" s="276">
        <v>0</v>
      </c>
      <c r="D7" s="277">
        <v>0</v>
      </c>
      <c r="E7" s="277">
        <v>0</v>
      </c>
      <c r="F7" s="394">
        <f t="shared" si="3"/>
        <v>0</v>
      </c>
      <c r="G7" s="249"/>
      <c r="H7" s="253">
        <v>0</v>
      </c>
      <c r="I7" s="249"/>
      <c r="J7" s="276">
        <v>1.1000000000000001</v>
      </c>
      <c r="K7" s="277">
        <v>39.1</v>
      </c>
      <c r="L7" s="277">
        <v>81.899999999999991</v>
      </c>
      <c r="M7" s="394">
        <f t="shared" si="0"/>
        <v>114.80000000000001</v>
      </c>
      <c r="N7" s="249"/>
      <c r="O7" s="516">
        <v>236.9</v>
      </c>
      <c r="P7" s="5"/>
      <c r="Q7" s="276">
        <v>118.52</v>
      </c>
      <c r="R7" s="277">
        <v>181.81</v>
      </c>
      <c r="S7" s="277">
        <v>257.65000000000003</v>
      </c>
      <c r="T7" s="394">
        <f t="shared" si="1"/>
        <v>285.12</v>
      </c>
      <c r="U7" s="5"/>
      <c r="V7" s="516">
        <v>843.1</v>
      </c>
      <c r="W7" s="5"/>
      <c r="X7" s="276">
        <v>251.5</v>
      </c>
      <c r="Y7" s="277">
        <v>337.5</v>
      </c>
      <c r="Z7" s="277">
        <v>393</v>
      </c>
      <c r="AA7" s="277">
        <f t="shared" si="2"/>
        <v>436</v>
      </c>
      <c r="AB7" s="5"/>
      <c r="AC7" s="516">
        <v>1418</v>
      </c>
      <c r="AD7" s="5"/>
      <c r="AE7" s="276">
        <v>370.8</v>
      </c>
      <c r="AF7" s="277">
        <v>412.1</v>
      </c>
      <c r="AG7" s="277">
        <v>465.6</v>
      </c>
      <c r="AH7" s="277">
        <v>563</v>
      </c>
      <c r="AI7" s="5"/>
      <c r="AJ7" s="516">
        <v>1811.5</v>
      </c>
      <c r="AL7" s="276">
        <v>442.7</v>
      </c>
      <c r="AM7" s="277"/>
      <c r="AN7" s="277"/>
      <c r="AO7" s="277"/>
      <c r="AP7" s="5"/>
      <c r="AQ7" s="516"/>
    </row>
    <row r="8" spans="1:54">
      <c r="A8" s="235" t="s">
        <v>267</v>
      </c>
      <c r="B8" s="235" t="s">
        <v>267</v>
      </c>
      <c r="C8" s="272">
        <v>14.1</v>
      </c>
      <c r="D8" s="273">
        <v>16.7</v>
      </c>
      <c r="E8" s="273">
        <v>18.7</v>
      </c>
      <c r="F8" s="394">
        <f t="shared" si="3"/>
        <v>20.300000000000004</v>
      </c>
      <c r="G8" s="249"/>
      <c r="H8" s="255">
        <v>69.800000000000011</v>
      </c>
      <c r="I8" s="249"/>
      <c r="J8" s="272">
        <v>25.1</v>
      </c>
      <c r="K8" s="273">
        <v>30</v>
      </c>
      <c r="L8" s="273">
        <v>24.1</v>
      </c>
      <c r="M8" s="394">
        <f t="shared" si="0"/>
        <v>28.800000000000004</v>
      </c>
      <c r="N8" s="249"/>
      <c r="O8" s="515">
        <v>108</v>
      </c>
      <c r="P8" s="5"/>
      <c r="Q8" s="272">
        <v>26</v>
      </c>
      <c r="R8" s="273">
        <v>27.9</v>
      </c>
      <c r="S8" s="501">
        <v>33.199999999999996</v>
      </c>
      <c r="T8" s="394">
        <f t="shared" si="1"/>
        <v>28.700000000000003</v>
      </c>
      <c r="U8" s="5"/>
      <c r="V8" s="515">
        <v>115.8</v>
      </c>
      <c r="W8" s="5"/>
      <c r="X8" s="272">
        <v>22.3</v>
      </c>
      <c r="Y8" s="273">
        <v>21.3</v>
      </c>
      <c r="Z8" s="501">
        <v>24.4</v>
      </c>
      <c r="AA8" s="273">
        <f t="shared" si="2"/>
        <v>22.299999999999997</v>
      </c>
      <c r="AB8" s="5"/>
      <c r="AC8" s="515">
        <v>90.3</v>
      </c>
      <c r="AD8" s="5"/>
      <c r="AE8" s="272">
        <v>16.7</v>
      </c>
      <c r="AF8" s="273">
        <v>21.7</v>
      </c>
      <c r="AG8" s="501">
        <v>24.4</v>
      </c>
      <c r="AH8" s="273">
        <v>18.799999999999997</v>
      </c>
      <c r="AI8" s="5"/>
      <c r="AJ8" s="515">
        <v>81.599999999999994</v>
      </c>
      <c r="AL8" s="272">
        <v>0</v>
      </c>
      <c r="AM8" s="273"/>
      <c r="AN8" s="501"/>
      <c r="AO8" s="273"/>
      <c r="AP8" s="5"/>
      <c r="AQ8" s="515"/>
    </row>
    <row r="9" spans="1:54">
      <c r="A9" s="235" t="s">
        <v>295</v>
      </c>
      <c r="B9" s="235" t="s">
        <v>296</v>
      </c>
      <c r="C9" s="276">
        <v>3.9</v>
      </c>
      <c r="D9" s="277">
        <v>4.5</v>
      </c>
      <c r="E9" s="277">
        <v>96.099999999999795</v>
      </c>
      <c r="F9" s="394">
        <f t="shared" si="3"/>
        <v>23.900000000000297</v>
      </c>
      <c r="G9" s="249"/>
      <c r="H9" s="253">
        <v>128.40000000000009</v>
      </c>
      <c r="I9" s="249"/>
      <c r="J9" s="276">
        <v>42.89999999999992</v>
      </c>
      <c r="K9" s="277">
        <v>24.599999999999909</v>
      </c>
      <c r="L9" s="277">
        <v>79.300000000000182</v>
      </c>
      <c r="M9" s="394">
        <f t="shared" si="0"/>
        <v>46.399999999999807</v>
      </c>
      <c r="N9" s="249"/>
      <c r="O9" s="516">
        <v>193.19999999999982</v>
      </c>
      <c r="P9" s="5"/>
      <c r="Q9" s="276">
        <v>39.399999999999864</v>
      </c>
      <c r="R9" s="277">
        <v>28.409999999999901</v>
      </c>
      <c r="S9" s="277">
        <v>25.100000000000136</v>
      </c>
      <c r="T9" s="394">
        <f t="shared" si="1"/>
        <v>22.290000000000106</v>
      </c>
      <c r="U9" s="5"/>
      <c r="V9" s="516">
        <v>115.2</v>
      </c>
      <c r="W9" s="5"/>
      <c r="X9" s="560">
        <v>0</v>
      </c>
      <c r="Y9" s="370">
        <v>0</v>
      </c>
      <c r="Z9" s="277">
        <v>0</v>
      </c>
      <c r="AA9" s="277">
        <f t="shared" si="2"/>
        <v>0</v>
      </c>
      <c r="AB9" s="5"/>
      <c r="AC9" s="516">
        <v>0</v>
      </c>
      <c r="AD9" s="5"/>
      <c r="AE9" s="560">
        <v>0</v>
      </c>
      <c r="AF9" s="370">
        <v>0</v>
      </c>
      <c r="AG9" s="277">
        <v>0</v>
      </c>
      <c r="AH9" s="277"/>
      <c r="AI9" s="5"/>
      <c r="AJ9" s="516"/>
      <c r="AL9" s="560"/>
      <c r="AM9" s="370"/>
      <c r="AN9" s="277"/>
      <c r="AO9" s="277"/>
      <c r="AP9" s="5"/>
      <c r="AQ9" s="516"/>
    </row>
    <row r="10" spans="1:54" ht="15" thickBot="1">
      <c r="A10" s="235" t="s">
        <v>282</v>
      </c>
      <c r="B10" s="237" t="s">
        <v>287</v>
      </c>
      <c r="C10" s="398">
        <v>14.5</v>
      </c>
      <c r="D10" s="370">
        <f>68.1-C10</f>
        <v>53.599999999999994</v>
      </c>
      <c r="E10" s="370">
        <f>114.1-D10-C10</f>
        <v>46</v>
      </c>
      <c r="F10" s="399">
        <f>H10-E10-D10-C10</f>
        <v>46.700000000000017</v>
      </c>
      <c r="G10" s="249"/>
      <c r="H10" s="369">
        <v>160.80000000000001</v>
      </c>
      <c r="I10" s="249"/>
      <c r="J10" s="398">
        <v>42</v>
      </c>
      <c r="K10" s="370">
        <v>34</v>
      </c>
      <c r="L10" s="370">
        <v>16</v>
      </c>
      <c r="M10" s="399"/>
      <c r="N10" s="249"/>
      <c r="O10" s="517">
        <v>106.4</v>
      </c>
      <c r="P10" s="5"/>
      <c r="Q10" s="398">
        <v>10.3</v>
      </c>
      <c r="R10" s="370">
        <v>2.6</v>
      </c>
      <c r="S10" s="502">
        <v>0</v>
      </c>
      <c r="T10" s="399">
        <f t="shared" si="1"/>
        <v>0</v>
      </c>
      <c r="U10" s="5"/>
      <c r="V10" s="517">
        <v>12.9</v>
      </c>
      <c r="W10" s="5"/>
      <c r="X10" s="398">
        <v>0</v>
      </c>
      <c r="Y10" s="370">
        <v>0</v>
      </c>
      <c r="Z10" s="502">
        <v>0</v>
      </c>
      <c r="AA10" s="370">
        <f t="shared" si="2"/>
        <v>0</v>
      </c>
      <c r="AB10" s="5"/>
      <c r="AC10" s="517">
        <v>0</v>
      </c>
      <c r="AD10" s="5"/>
      <c r="AE10" s="398">
        <v>0</v>
      </c>
      <c r="AF10" s="370">
        <v>0</v>
      </c>
      <c r="AG10" s="502">
        <v>0</v>
      </c>
      <c r="AH10" s="370"/>
      <c r="AI10" s="5"/>
      <c r="AJ10" s="517"/>
      <c r="AL10" s="398"/>
      <c r="AM10" s="370"/>
      <c r="AN10" s="502"/>
      <c r="AO10" s="370"/>
      <c r="AP10" s="5"/>
      <c r="AQ10" s="517"/>
    </row>
    <row r="11" spans="1:54" s="244" customFormat="1" ht="23.25" customHeight="1" thickTop="1">
      <c r="A11" s="247" t="s">
        <v>305</v>
      </c>
      <c r="B11" s="248" t="s">
        <v>292</v>
      </c>
      <c r="C11" s="392">
        <v>331.6</v>
      </c>
      <c r="D11" s="382">
        <v>660</v>
      </c>
      <c r="E11" s="382">
        <v>713.5</v>
      </c>
      <c r="F11" s="393">
        <f>H11-E11-D11-C11</f>
        <v>587.80000000000007</v>
      </c>
      <c r="G11" s="250"/>
      <c r="H11" s="293">
        <v>2292.9</v>
      </c>
      <c r="I11" s="250"/>
      <c r="J11" s="482">
        <f>SUM(J12:J17)</f>
        <v>610.40000000000009</v>
      </c>
      <c r="K11" s="484">
        <f>SUM(K12:K17)</f>
        <v>959.10000000000014</v>
      </c>
      <c r="L11" s="483">
        <f>SUM(L12:L17)</f>
        <v>1010.5891752784182</v>
      </c>
      <c r="M11" s="393">
        <f>O11-L11-K11-J11</f>
        <v>945.17082472158177</v>
      </c>
      <c r="N11" s="250"/>
      <c r="O11" s="514">
        <f>SUM(O12:O17)</f>
        <v>3525.26</v>
      </c>
      <c r="P11" s="243"/>
      <c r="Q11" s="401">
        <v>922.84</v>
      </c>
      <c r="R11" s="382">
        <v>1129.4000000000001</v>
      </c>
      <c r="S11" s="382">
        <v>1163.1499999999999</v>
      </c>
      <c r="T11" s="393">
        <f t="shared" si="1"/>
        <v>1050.0100000000002</v>
      </c>
      <c r="U11" s="243"/>
      <c r="V11" s="514">
        <f>SUM(V12:V17)</f>
        <v>4265.4000000000005</v>
      </c>
      <c r="W11" s="243"/>
      <c r="X11" s="569">
        <v>958.8</v>
      </c>
      <c r="Y11" s="570">
        <v>1102.0999999999999</v>
      </c>
      <c r="Z11" s="382">
        <v>1173.9999999999995</v>
      </c>
      <c r="AA11" s="382">
        <f t="shared" si="2"/>
        <v>1159.2000000000003</v>
      </c>
      <c r="AB11" s="243"/>
      <c r="AC11" s="514">
        <v>4394.0999999999995</v>
      </c>
      <c r="AD11" s="243"/>
      <c r="AE11" s="569">
        <v>1162.8</v>
      </c>
      <c r="AF11" s="570">
        <v>1282.3</v>
      </c>
      <c r="AG11" s="382">
        <v>1420</v>
      </c>
      <c r="AH11" s="382">
        <v>1318.6</v>
      </c>
      <c r="AI11" s="243"/>
      <c r="AJ11" s="514">
        <v>5183.7</v>
      </c>
      <c r="AK11" s="243"/>
      <c r="AL11" s="569">
        <f>SUM(AL12:AL16)</f>
        <v>1184.5999999999999</v>
      </c>
      <c r="AM11" s="570"/>
      <c r="AN11" s="382"/>
      <c r="AO11" s="382"/>
      <c r="AP11" s="243"/>
      <c r="AQ11" s="514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</row>
    <row r="12" spans="1:54">
      <c r="A12" s="235" t="s">
        <v>289</v>
      </c>
      <c r="B12" s="235" t="s">
        <v>289</v>
      </c>
      <c r="C12" s="272">
        <v>156.30000000000001</v>
      </c>
      <c r="D12" s="273">
        <v>395.7</v>
      </c>
      <c r="E12" s="273">
        <v>477.29999999999995</v>
      </c>
      <c r="F12" s="394">
        <f>H12-E12-D12-C12</f>
        <v>264.79999999999995</v>
      </c>
      <c r="G12" s="249"/>
      <c r="H12" s="253">
        <v>1294.0999999999999</v>
      </c>
      <c r="I12" s="249"/>
      <c r="J12" s="272">
        <v>268.3</v>
      </c>
      <c r="K12" s="273">
        <v>574.80000000000007</v>
      </c>
      <c r="L12" s="273">
        <v>595.48917527841809</v>
      </c>
      <c r="M12" s="394">
        <f t="shared" ref="M12:M17" si="4">O12-L12-K12-J12</f>
        <v>424.71082472158179</v>
      </c>
      <c r="N12" s="249"/>
      <c r="O12" s="516">
        <v>1863.3</v>
      </c>
      <c r="P12" s="5"/>
      <c r="Q12" s="272">
        <v>453.00000000000006</v>
      </c>
      <c r="R12" s="273">
        <v>625.14</v>
      </c>
      <c r="S12" s="501">
        <v>607.96</v>
      </c>
      <c r="T12" s="394">
        <f t="shared" si="1"/>
        <v>493.19999999999959</v>
      </c>
      <c r="U12" s="5"/>
      <c r="V12" s="516">
        <v>2179.2999999999997</v>
      </c>
      <c r="W12" s="5"/>
      <c r="X12" s="272">
        <v>447.5</v>
      </c>
      <c r="Y12" s="273">
        <v>570.4</v>
      </c>
      <c r="Z12" s="501">
        <v>616.09999999999991</v>
      </c>
      <c r="AA12" s="273">
        <f t="shared" si="2"/>
        <v>584.39999999999964</v>
      </c>
      <c r="AB12" s="5"/>
      <c r="AC12" s="516">
        <v>2218.3999999999996</v>
      </c>
      <c r="AD12" s="5"/>
      <c r="AE12" s="272">
        <v>575</v>
      </c>
      <c r="AF12" s="273">
        <v>661.1</v>
      </c>
      <c r="AG12" s="501">
        <v>702.90000000000009</v>
      </c>
      <c r="AH12" s="273">
        <v>635.50000000000045</v>
      </c>
      <c r="AI12" s="5"/>
      <c r="AJ12" s="516">
        <v>2574.5000000000005</v>
      </c>
      <c r="AL12" s="272">
        <v>567.79999999999995</v>
      </c>
      <c r="AM12" s="273"/>
      <c r="AN12" s="501"/>
      <c r="AO12" s="273"/>
      <c r="AP12" s="5"/>
      <c r="AQ12" s="516"/>
    </row>
    <row r="13" spans="1:54">
      <c r="A13" s="235" t="s">
        <v>290</v>
      </c>
      <c r="B13" s="235" t="s">
        <v>290</v>
      </c>
      <c r="C13" s="276">
        <v>162.6</v>
      </c>
      <c r="D13" s="277">
        <v>225.5</v>
      </c>
      <c r="E13" s="277">
        <v>220.39999999999998</v>
      </c>
      <c r="F13" s="394">
        <f t="shared" ref="F13:F17" si="5">H13-E13-D13-C13</f>
        <v>267.10000000000002</v>
      </c>
      <c r="G13" s="249"/>
      <c r="H13" s="253">
        <v>875.6</v>
      </c>
      <c r="I13" s="249"/>
      <c r="J13" s="276">
        <v>287.60000000000002</v>
      </c>
      <c r="K13" s="277">
        <v>309.39999999999998</v>
      </c>
      <c r="L13" s="277">
        <v>305.30000000000007</v>
      </c>
      <c r="M13" s="394">
        <f t="shared" si="4"/>
        <v>331.6</v>
      </c>
      <c r="N13" s="249"/>
      <c r="O13" s="516">
        <v>1233.9000000000001</v>
      </c>
      <c r="P13" s="5"/>
      <c r="Q13" s="276">
        <v>325</v>
      </c>
      <c r="R13" s="277">
        <v>340.8</v>
      </c>
      <c r="S13" s="277">
        <v>309.90000000000009</v>
      </c>
      <c r="T13" s="394">
        <f t="shared" si="1"/>
        <v>299</v>
      </c>
      <c r="U13" s="5"/>
      <c r="V13" s="516">
        <v>1274.7</v>
      </c>
      <c r="W13" s="5"/>
      <c r="X13" s="276">
        <v>300.40000000000003</v>
      </c>
      <c r="Y13" s="277">
        <v>298</v>
      </c>
      <c r="Z13" s="277">
        <v>261.10000000000002</v>
      </c>
      <c r="AA13" s="277">
        <f t="shared" si="2"/>
        <v>243.79999999999984</v>
      </c>
      <c r="AB13" s="5"/>
      <c r="AC13" s="516">
        <v>1103.3</v>
      </c>
      <c r="AD13" s="5"/>
      <c r="AE13" s="276">
        <v>297.5</v>
      </c>
      <c r="AF13" s="277">
        <v>306.60000000000002</v>
      </c>
      <c r="AG13" s="277">
        <v>353.1</v>
      </c>
      <c r="AH13" s="277">
        <v>265.39999999999986</v>
      </c>
      <c r="AI13" s="5"/>
      <c r="AJ13" s="516">
        <v>1222.5999999999999</v>
      </c>
      <c r="AL13" s="276">
        <v>302.89999999999998</v>
      </c>
      <c r="AM13" s="277"/>
      <c r="AN13" s="277"/>
      <c r="AO13" s="277"/>
      <c r="AP13" s="5"/>
      <c r="AQ13" s="516"/>
    </row>
    <row r="14" spans="1:54">
      <c r="A14" s="235" t="s">
        <v>291</v>
      </c>
      <c r="B14" s="235" t="s">
        <v>291</v>
      </c>
      <c r="C14" s="276">
        <v>12.9</v>
      </c>
      <c r="D14" s="277">
        <v>19.2</v>
      </c>
      <c r="E14" s="277">
        <v>21.499999999999996</v>
      </c>
      <c r="F14" s="394">
        <f t="shared" si="5"/>
        <v>35.70000000000001</v>
      </c>
      <c r="G14" s="249"/>
      <c r="H14" s="253">
        <v>89.300000000000011</v>
      </c>
      <c r="I14" s="249"/>
      <c r="J14" s="276">
        <v>39</v>
      </c>
      <c r="K14" s="277">
        <v>36.200000000000003</v>
      </c>
      <c r="L14" s="277">
        <v>49.7</v>
      </c>
      <c r="M14" s="394">
        <f t="shared" si="4"/>
        <v>92</v>
      </c>
      <c r="N14" s="249"/>
      <c r="O14" s="516">
        <v>216.89999999999998</v>
      </c>
      <c r="P14" s="5"/>
      <c r="Q14" s="276">
        <v>66.7</v>
      </c>
      <c r="R14" s="277">
        <v>78.5</v>
      </c>
      <c r="S14" s="277">
        <v>94.9</v>
      </c>
      <c r="T14" s="394">
        <f t="shared" si="1"/>
        <v>126.79999999999998</v>
      </c>
      <c r="U14" s="5"/>
      <c r="V14" s="516">
        <v>366.9</v>
      </c>
      <c r="W14" s="5"/>
      <c r="X14" s="276">
        <v>99.7</v>
      </c>
      <c r="Y14" s="277">
        <v>93.4</v>
      </c>
      <c r="Z14" s="277">
        <v>101.99999999999997</v>
      </c>
      <c r="AA14" s="277">
        <f t="shared" si="2"/>
        <v>106.19999999999999</v>
      </c>
      <c r="AB14" s="5"/>
      <c r="AC14" s="516">
        <v>401.3</v>
      </c>
      <c r="AD14" s="5"/>
      <c r="AE14" s="276">
        <v>91.9</v>
      </c>
      <c r="AF14" s="277">
        <v>91.9</v>
      </c>
      <c r="AG14" s="277">
        <v>110.79999999999995</v>
      </c>
      <c r="AH14" s="277">
        <v>124.00000000000006</v>
      </c>
      <c r="AI14" s="5"/>
      <c r="AJ14" s="516">
        <v>418.6</v>
      </c>
      <c r="AL14" s="276">
        <v>88.8</v>
      </c>
      <c r="AM14" s="277"/>
      <c r="AN14" s="277"/>
      <c r="AO14" s="277"/>
      <c r="AP14" s="5"/>
      <c r="AQ14" s="516"/>
    </row>
    <row r="15" spans="1:54">
      <c r="A15" s="235" t="s">
        <v>307</v>
      </c>
      <c r="B15" s="235" t="s">
        <v>307</v>
      </c>
      <c r="C15" s="276">
        <v>0</v>
      </c>
      <c r="D15" s="277">
        <v>0</v>
      </c>
      <c r="E15" s="277">
        <v>0</v>
      </c>
      <c r="F15" s="394">
        <f t="shared" si="5"/>
        <v>0</v>
      </c>
      <c r="G15" s="249"/>
      <c r="H15" s="253">
        <v>0</v>
      </c>
      <c r="I15" s="249"/>
      <c r="J15" s="276">
        <v>0.6</v>
      </c>
      <c r="K15" s="277">
        <v>20.8</v>
      </c>
      <c r="L15" s="277">
        <v>40.6</v>
      </c>
      <c r="M15" s="394">
        <f t="shared" si="4"/>
        <v>45.76</v>
      </c>
      <c r="N15" s="249"/>
      <c r="O15" s="516">
        <v>107.76</v>
      </c>
      <c r="P15" s="5"/>
      <c r="Q15" s="276">
        <v>54.440000000000005</v>
      </c>
      <c r="R15" s="277">
        <v>82.47</v>
      </c>
      <c r="S15" s="277">
        <v>130.09</v>
      </c>
      <c r="T15" s="394">
        <f t="shared" si="1"/>
        <v>123.69999999999999</v>
      </c>
      <c r="U15" s="5"/>
      <c r="V15" s="516">
        <v>390.7</v>
      </c>
      <c r="W15" s="5"/>
      <c r="X15" s="276">
        <v>100</v>
      </c>
      <c r="Y15" s="277">
        <v>127.5</v>
      </c>
      <c r="Z15" s="277">
        <v>181.60000000000002</v>
      </c>
      <c r="AA15" s="277">
        <f t="shared" si="2"/>
        <v>212.79999999999995</v>
      </c>
      <c r="AB15" s="5"/>
      <c r="AC15" s="516">
        <v>621.9</v>
      </c>
      <c r="AD15" s="5"/>
      <c r="AE15" s="276">
        <v>188.2</v>
      </c>
      <c r="AF15" s="277">
        <v>209.8</v>
      </c>
      <c r="AG15" s="277">
        <v>239.10000000000002</v>
      </c>
      <c r="AH15" s="277">
        <v>284.20000000000005</v>
      </c>
      <c r="AI15" s="5"/>
      <c r="AJ15" s="516">
        <v>921.30000000000007</v>
      </c>
      <c r="AL15" s="276">
        <v>225.1</v>
      </c>
      <c r="AM15" s="277"/>
      <c r="AN15" s="277"/>
      <c r="AO15" s="277"/>
      <c r="AP15" s="5"/>
      <c r="AQ15" s="516"/>
    </row>
    <row r="16" spans="1:54">
      <c r="A16" s="235" t="s">
        <v>267</v>
      </c>
      <c r="B16" s="235" t="s">
        <v>267</v>
      </c>
      <c r="C16" s="272">
        <v>7.5</v>
      </c>
      <c r="D16" s="273">
        <v>8.5</v>
      </c>
      <c r="E16" s="273">
        <v>9.9</v>
      </c>
      <c r="F16" s="394">
        <f t="shared" si="5"/>
        <v>9.1999999999999957</v>
      </c>
      <c r="G16" s="249"/>
      <c r="H16" s="253">
        <v>35.099999999999994</v>
      </c>
      <c r="I16" s="249"/>
      <c r="J16" s="272">
        <v>14.6</v>
      </c>
      <c r="K16" s="273">
        <v>16.7</v>
      </c>
      <c r="L16" s="273">
        <v>12.299999999999997</v>
      </c>
      <c r="M16" s="394">
        <f t="shared" si="4"/>
        <v>12.800000000000002</v>
      </c>
      <c r="N16" s="249"/>
      <c r="O16" s="516">
        <v>56.4</v>
      </c>
      <c r="P16" s="5"/>
      <c r="Q16" s="272">
        <v>13.4</v>
      </c>
      <c r="R16" s="273">
        <v>15.4</v>
      </c>
      <c r="S16" s="501">
        <v>15.400000000000004</v>
      </c>
      <c r="T16" s="394">
        <f t="shared" si="1"/>
        <v>10.299999999999997</v>
      </c>
      <c r="U16" s="5"/>
      <c r="V16" s="516">
        <v>54.5</v>
      </c>
      <c r="W16" s="5"/>
      <c r="X16" s="272">
        <v>11.2</v>
      </c>
      <c r="Y16" s="273">
        <v>12.8</v>
      </c>
      <c r="Z16" s="501">
        <v>13.200000000000003</v>
      </c>
      <c r="AA16" s="273">
        <f t="shared" si="2"/>
        <v>12</v>
      </c>
      <c r="AB16" s="5"/>
      <c r="AC16" s="516">
        <v>49.2</v>
      </c>
      <c r="AD16" s="5"/>
      <c r="AE16" s="272">
        <v>10.199999999999999</v>
      </c>
      <c r="AF16" s="273">
        <v>12.9</v>
      </c>
      <c r="AG16" s="501">
        <v>14.100000000000001</v>
      </c>
      <c r="AH16" s="273">
        <v>9.5</v>
      </c>
      <c r="AI16" s="5"/>
      <c r="AJ16" s="516">
        <v>46.7</v>
      </c>
      <c r="AL16" s="272">
        <v>0</v>
      </c>
      <c r="AM16" s="273"/>
      <c r="AN16" s="501"/>
      <c r="AO16" s="273"/>
      <c r="AP16" s="5"/>
      <c r="AQ16" s="516"/>
    </row>
    <row r="17" spans="1:54">
      <c r="A17" s="235" t="s">
        <v>295</v>
      </c>
      <c r="B17" s="235" t="s">
        <v>296</v>
      </c>
      <c r="C17" s="276">
        <v>-7.7</v>
      </c>
      <c r="D17" s="277">
        <v>11.1</v>
      </c>
      <c r="E17" s="277">
        <v>-15.600000000000003</v>
      </c>
      <c r="F17" s="394">
        <f t="shared" si="5"/>
        <v>11</v>
      </c>
      <c r="G17" s="249"/>
      <c r="H17" s="253">
        <v>-1.2000000000000028</v>
      </c>
      <c r="I17" s="249"/>
      <c r="J17" s="276">
        <v>0.3</v>
      </c>
      <c r="K17" s="277">
        <v>1.2</v>
      </c>
      <c r="L17" s="277">
        <v>7.1999999999999993</v>
      </c>
      <c r="M17" s="394">
        <f t="shared" si="4"/>
        <v>38.299999999999997</v>
      </c>
      <c r="N17" s="249"/>
      <c r="O17" s="516">
        <v>47</v>
      </c>
      <c r="P17" s="5"/>
      <c r="Q17" s="276">
        <v>10.3</v>
      </c>
      <c r="R17" s="277">
        <v>-12.9</v>
      </c>
      <c r="S17" s="277">
        <v>4.9000000000000021</v>
      </c>
      <c r="T17" s="394">
        <f t="shared" si="1"/>
        <v>-3.0000000000000027</v>
      </c>
      <c r="U17" s="5"/>
      <c r="V17" s="516">
        <v>-0.7</v>
      </c>
      <c r="W17" s="5"/>
      <c r="X17" s="560">
        <v>0</v>
      </c>
      <c r="Y17" s="370">
        <v>0</v>
      </c>
      <c r="Z17" s="277">
        <v>0</v>
      </c>
      <c r="AA17" s="277">
        <f t="shared" si="2"/>
        <v>0</v>
      </c>
      <c r="AB17" s="5"/>
      <c r="AC17" s="516">
        <v>0</v>
      </c>
      <c r="AD17" s="5"/>
      <c r="AE17" s="560"/>
      <c r="AF17" s="370"/>
      <c r="AG17" s="277"/>
      <c r="AH17" s="277"/>
      <c r="AI17" s="5"/>
      <c r="AJ17" s="516"/>
      <c r="AL17" s="560"/>
      <c r="AM17" s="370"/>
      <c r="AN17" s="277"/>
      <c r="AO17" s="277"/>
      <c r="AP17" s="5"/>
      <c r="AQ17" s="516"/>
    </row>
    <row r="18" spans="1:54">
      <c r="A18" s="236"/>
      <c r="B18" s="5"/>
      <c r="C18" s="384"/>
      <c r="D18" s="385"/>
      <c r="E18" s="385"/>
      <c r="F18" s="386"/>
      <c r="G18" s="249"/>
      <c r="H18" s="251"/>
      <c r="I18" s="249"/>
      <c r="J18" s="384"/>
      <c r="K18" s="385"/>
      <c r="L18" s="385"/>
      <c r="M18" s="386"/>
      <c r="N18" s="249"/>
      <c r="O18" s="518"/>
      <c r="P18" s="5"/>
      <c r="Q18" s="384"/>
      <c r="R18" s="385"/>
      <c r="S18" s="503"/>
      <c r="T18" s="386"/>
      <c r="U18" s="5"/>
      <c r="V18" s="518"/>
      <c r="W18" s="5"/>
      <c r="X18" s="384"/>
      <c r="Y18" s="385"/>
      <c r="Z18" s="503"/>
      <c r="AA18" s="385"/>
      <c r="AB18" s="5"/>
      <c r="AC18" s="518"/>
      <c r="AD18" s="5"/>
      <c r="AE18" s="384"/>
      <c r="AF18" s="385"/>
      <c r="AG18" s="503"/>
      <c r="AH18" s="385"/>
      <c r="AI18" s="5"/>
      <c r="AJ18" s="518"/>
      <c r="AL18" s="384"/>
      <c r="AM18" s="385"/>
      <c r="AN18" s="503"/>
      <c r="AO18" s="385"/>
      <c r="AP18" s="5"/>
      <c r="AQ18" s="518"/>
    </row>
    <row r="19" spans="1:54" s="244" customFormat="1" ht="23.25" customHeight="1">
      <c r="A19" s="247" t="s">
        <v>88</v>
      </c>
      <c r="B19" s="248" t="s">
        <v>89</v>
      </c>
      <c r="C19" s="390">
        <v>0.44</v>
      </c>
      <c r="D19" s="391">
        <v>0.47028644719965801</v>
      </c>
      <c r="E19" s="391">
        <v>0.45310217819267162</v>
      </c>
      <c r="F19" s="389">
        <f>F11/F3</f>
        <v>0.47525873221216047</v>
      </c>
      <c r="G19" s="279"/>
      <c r="H19" s="280">
        <v>0.45080806889229685</v>
      </c>
      <c r="I19" s="279"/>
      <c r="J19" s="390">
        <f t="shared" ref="J19:M20" si="6">J11/J3</f>
        <v>0.430071161840344</v>
      </c>
      <c r="K19" s="391">
        <f t="shared" si="6"/>
        <v>0.47148756267820285</v>
      </c>
      <c r="L19" s="391">
        <f t="shared" si="6"/>
        <v>0.49170334683153888</v>
      </c>
      <c r="M19" s="389">
        <f t="shared" si="6"/>
        <v>0.46493314262942176</v>
      </c>
      <c r="N19" s="279"/>
      <c r="O19" s="519">
        <f>O11/O3</f>
        <v>0.46743572404099876</v>
      </c>
      <c r="P19" s="243"/>
      <c r="Q19" s="390">
        <v>0.49304383134229485</v>
      </c>
      <c r="R19" s="391">
        <v>0.47558110156644801</v>
      </c>
      <c r="S19" s="391">
        <v>0.48023170359115791</v>
      </c>
      <c r="T19" s="389">
        <f>T11/T3</f>
        <v>0.42820498181165711</v>
      </c>
      <c r="U19" s="243"/>
      <c r="V19" s="519">
        <f>V11/V3</f>
        <v>0.46752819703396808</v>
      </c>
      <c r="W19" s="243"/>
      <c r="X19" s="390">
        <v>0.46451237827624631</v>
      </c>
      <c r="Y19" s="391">
        <v>0.45</v>
      </c>
      <c r="Z19" s="391">
        <v>0.48304805793285044</v>
      </c>
      <c r="AA19" s="391">
        <f>AA11/AA3</f>
        <v>0.45976282076706487</v>
      </c>
      <c r="AB19" s="243"/>
      <c r="AC19" s="519">
        <v>0.4654619026937703</v>
      </c>
      <c r="AD19" s="243"/>
      <c r="AE19" s="390">
        <v>0.51421748551718005</v>
      </c>
      <c r="AF19" s="391">
        <v>0.49524949791441403</v>
      </c>
      <c r="AG19" s="391">
        <v>0.51246887292937304</v>
      </c>
      <c r="AH19" s="391">
        <v>0.49175803684642372</v>
      </c>
      <c r="AI19" s="243"/>
      <c r="AJ19" s="519">
        <v>0.50313507007803693</v>
      </c>
      <c r="AK19" s="243"/>
      <c r="AL19" s="390">
        <v>0.50500916570746468</v>
      </c>
      <c r="AM19" s="391"/>
      <c r="AN19" s="391"/>
      <c r="AO19" s="391"/>
      <c r="AP19" s="243"/>
      <c r="AQ19" s="519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</row>
    <row r="20" spans="1:54">
      <c r="A20" s="235" t="s">
        <v>289</v>
      </c>
      <c r="B20" s="235" t="s">
        <v>289</v>
      </c>
      <c r="C20" s="256">
        <v>0.5</v>
      </c>
      <c r="D20" s="281">
        <v>0.45920854125565802</v>
      </c>
      <c r="E20" s="281">
        <v>0.53293881196962933</v>
      </c>
      <c r="F20" s="379">
        <f>F12/F4</f>
        <v>0.47260396216312706</v>
      </c>
      <c r="G20" s="258"/>
      <c r="H20" s="294">
        <v>0.49237149488262377</v>
      </c>
      <c r="I20" s="258"/>
      <c r="J20" s="256">
        <f t="shared" si="6"/>
        <v>0.48959854014598542</v>
      </c>
      <c r="K20" s="281">
        <f t="shared" si="6"/>
        <v>0.52188124205556563</v>
      </c>
      <c r="L20" s="281">
        <f t="shared" si="6"/>
        <v>0.57062024456449878</v>
      </c>
      <c r="M20" s="379">
        <f t="shared" si="6"/>
        <v>0.52374095883500327</v>
      </c>
      <c r="N20" s="258"/>
      <c r="O20" s="520">
        <f>O12/O4</f>
        <v>0.53177887496789289</v>
      </c>
      <c r="P20" s="5"/>
      <c r="Q20" s="256">
        <v>0.58054594386774316</v>
      </c>
      <c r="R20" s="281">
        <v>0.54257147320731103</v>
      </c>
      <c r="S20" s="281">
        <v>0.54603425512614401</v>
      </c>
      <c r="T20" s="379">
        <f>T12/T4</f>
        <v>0.48639532934249813</v>
      </c>
      <c r="U20" s="5"/>
      <c r="V20" s="520">
        <f>V12/V4</f>
        <v>0.53677339901477827</v>
      </c>
      <c r="W20" s="5"/>
      <c r="X20" s="256">
        <f>X12/X4</f>
        <v>0.5274634606317774</v>
      </c>
      <c r="Y20" s="281">
        <v>0.55000000000000004</v>
      </c>
      <c r="Z20" s="281">
        <v>0.5813909597055773</v>
      </c>
      <c r="AA20" s="281">
        <f t="shared" ref="AA20:AA24" si="7">AA12/AA4</f>
        <v>0.55588319223818083</v>
      </c>
      <c r="AB20" s="5"/>
      <c r="AC20" s="520">
        <v>0.55458613534661627</v>
      </c>
      <c r="AD20" s="5"/>
      <c r="AE20" s="256">
        <v>0.60481750289260505</v>
      </c>
      <c r="AF20" s="281">
        <v>0.59526382135782396</v>
      </c>
      <c r="AG20" s="281">
        <f>AG12/AG4</f>
        <v>0.58638525068824576</v>
      </c>
      <c r="AH20" s="281">
        <v>0.56827327193060928</v>
      </c>
      <c r="AI20" s="5"/>
      <c r="AJ20" s="520">
        <v>0.58801361258936125</v>
      </c>
      <c r="AL20" s="256">
        <v>0.5472243639167309</v>
      </c>
      <c r="AM20" s="281"/>
      <c r="AN20" s="281"/>
      <c r="AO20" s="281"/>
      <c r="AP20" s="5"/>
      <c r="AQ20" s="520"/>
    </row>
    <row r="21" spans="1:54">
      <c r="A21" s="235" t="s">
        <v>290</v>
      </c>
      <c r="B21" s="235" t="s">
        <v>290</v>
      </c>
      <c r="C21" s="257">
        <v>0.41</v>
      </c>
      <c r="D21" s="282">
        <v>0.47795676133955101</v>
      </c>
      <c r="E21" s="282">
        <v>0.43479976326691655</v>
      </c>
      <c r="F21" s="379">
        <f t="shared" ref="F21:F25" si="8">F13/F5</f>
        <v>0.41282843894899524</v>
      </c>
      <c r="G21" s="258"/>
      <c r="H21" s="295">
        <v>0.43352973213843643</v>
      </c>
      <c r="I21" s="258"/>
      <c r="J21" s="256">
        <f t="shared" ref="J21:M25" si="9">J13/J5</f>
        <v>0.43345892991710627</v>
      </c>
      <c r="K21" s="281">
        <f t="shared" si="9"/>
        <v>0.4356519290340749</v>
      </c>
      <c r="L21" s="281">
        <f t="shared" si="9"/>
        <v>0.44252790259457897</v>
      </c>
      <c r="M21" s="379">
        <f t="shared" si="9"/>
        <v>0.41990629352918818</v>
      </c>
      <c r="N21" s="258"/>
      <c r="O21" s="521">
        <f>O13/O5</f>
        <v>0.43244664073178424</v>
      </c>
      <c r="P21" s="5"/>
      <c r="Q21" s="257">
        <v>0.43618306267615081</v>
      </c>
      <c r="R21" s="282">
        <v>0.42733542319749201</v>
      </c>
      <c r="S21" s="282">
        <v>0.40568137190731784</v>
      </c>
      <c r="T21" s="379">
        <f t="shared" ref="T21:V25" si="10">T13/T5</f>
        <v>0.38590604026845626</v>
      </c>
      <c r="U21" s="5"/>
      <c r="V21" s="520">
        <f t="shared" si="10"/>
        <v>0.41368902735858243</v>
      </c>
      <c r="W21" s="5"/>
      <c r="X21" s="256">
        <f t="shared" ref="X21:X24" si="11">X13/X5</f>
        <v>0.4285306704707561</v>
      </c>
      <c r="Y21" s="282">
        <v>0.39</v>
      </c>
      <c r="Z21" s="282">
        <v>0.38607127014638482</v>
      </c>
      <c r="AA21" s="282">
        <f t="shared" si="7"/>
        <v>0.35079136690647439</v>
      </c>
      <c r="AB21" s="5"/>
      <c r="AC21" s="520">
        <v>0.38836284276109678</v>
      </c>
      <c r="AD21" s="5"/>
      <c r="AE21" s="256">
        <v>0.42312615559664302</v>
      </c>
      <c r="AF21" s="282">
        <v>0.37922077922077901</v>
      </c>
      <c r="AG21" s="281">
        <f>AG13/AG5</f>
        <v>0.43863354037267083</v>
      </c>
      <c r="AH21" s="282">
        <v>0.398498498498498</v>
      </c>
      <c r="AI21" s="5"/>
      <c r="AJ21" s="520">
        <v>0.40991081606651908</v>
      </c>
      <c r="AL21" s="256">
        <v>0.45371479928100655</v>
      </c>
      <c r="AM21" s="282"/>
      <c r="AN21" s="281"/>
      <c r="AO21" s="282"/>
      <c r="AP21" s="5"/>
      <c r="AQ21" s="520"/>
    </row>
    <row r="22" spans="1:54">
      <c r="A22" s="235" t="s">
        <v>291</v>
      </c>
      <c r="B22" s="235" t="s">
        <v>291</v>
      </c>
      <c r="C22" s="257">
        <v>0.37</v>
      </c>
      <c r="D22" s="282">
        <v>0.39425051334702299</v>
      </c>
      <c r="E22" s="282">
        <v>0.37456445993031356</v>
      </c>
      <c r="F22" s="379">
        <f t="shared" si="8"/>
        <v>0.35915492957746475</v>
      </c>
      <c r="G22" s="258"/>
      <c r="H22" s="295">
        <v>0.37208333333333338</v>
      </c>
      <c r="I22" s="258"/>
      <c r="J22" s="256">
        <f t="shared" si="9"/>
        <v>0.40330920372285411</v>
      </c>
      <c r="K22" s="281">
        <f t="shared" si="9"/>
        <v>0.38145416227608009</v>
      </c>
      <c r="L22" s="281">
        <f t="shared" si="9"/>
        <v>0.41244813278008308</v>
      </c>
      <c r="M22" s="379">
        <f t="shared" si="9"/>
        <v>0.40368582711715661</v>
      </c>
      <c r="N22" s="258"/>
      <c r="O22" s="521">
        <f t="shared" ref="O22:O25" si="12">O14/O6</f>
        <v>0.40166666666666662</v>
      </c>
      <c r="P22" s="5"/>
      <c r="Q22" s="257">
        <v>0.4107142857142857</v>
      </c>
      <c r="R22" s="282">
        <v>0.419786096256684</v>
      </c>
      <c r="S22" s="282">
        <v>0.4147727272727274</v>
      </c>
      <c r="T22" s="379">
        <f t="shared" si="10"/>
        <v>0.40025252525252514</v>
      </c>
      <c r="U22" s="5"/>
      <c r="V22" s="520">
        <f t="shared" si="10"/>
        <v>0.40994413407821229</v>
      </c>
      <c r="W22" s="5"/>
      <c r="X22" s="256">
        <f t="shared" si="11"/>
        <v>0.41386467413864675</v>
      </c>
      <c r="Y22" s="282">
        <v>0.36</v>
      </c>
      <c r="Z22" s="282">
        <v>0.36823104693140779</v>
      </c>
      <c r="AA22" s="282">
        <f t="shared" si="7"/>
        <v>0.33533312282917577</v>
      </c>
      <c r="AB22" s="5"/>
      <c r="AC22" s="520">
        <v>0.36782768102658114</v>
      </c>
      <c r="AD22" s="5"/>
      <c r="AE22" s="256">
        <v>0.417727272727273</v>
      </c>
      <c r="AF22" s="282">
        <v>0.38891239949217099</v>
      </c>
      <c r="AG22" s="281">
        <f>AG14/AG6</f>
        <v>0.39971139971139957</v>
      </c>
      <c r="AH22" s="282">
        <v>0.39327624484617846</v>
      </c>
      <c r="AI22" s="5"/>
      <c r="AJ22" s="520">
        <v>0.39912280701754388</v>
      </c>
      <c r="AL22" s="256">
        <v>0.44893832153690599</v>
      </c>
      <c r="AM22" s="282"/>
      <c r="AN22" s="281"/>
      <c r="AO22" s="282"/>
      <c r="AP22" s="5"/>
      <c r="AQ22" s="520"/>
    </row>
    <row r="23" spans="1:54">
      <c r="A23" s="235" t="s">
        <v>307</v>
      </c>
      <c r="B23" s="235" t="s">
        <v>307</v>
      </c>
      <c r="C23" s="257">
        <v>0</v>
      </c>
      <c r="D23" s="282">
        <v>0</v>
      </c>
      <c r="E23" s="282">
        <v>0</v>
      </c>
      <c r="F23" s="379">
        <v>0</v>
      </c>
      <c r="G23" s="258"/>
      <c r="H23" s="295" t="s">
        <v>28</v>
      </c>
      <c r="I23" s="258"/>
      <c r="J23" s="256">
        <f t="shared" si="9"/>
        <v>0.54545454545454541</v>
      </c>
      <c r="K23" s="281">
        <f t="shared" si="9"/>
        <v>0.53196930946291565</v>
      </c>
      <c r="L23" s="281">
        <f t="shared" si="9"/>
        <v>0.4957264957264958</v>
      </c>
      <c r="M23" s="379">
        <f t="shared" si="9"/>
        <v>0.39860627177700342</v>
      </c>
      <c r="N23" s="258"/>
      <c r="O23" s="521">
        <f t="shared" si="12"/>
        <v>0.45487547488391727</v>
      </c>
      <c r="P23" s="5"/>
      <c r="Q23" s="257">
        <v>0.45933175835302065</v>
      </c>
      <c r="R23" s="282">
        <v>0.453605412243551</v>
      </c>
      <c r="S23" s="282">
        <v>0.5049097613040946</v>
      </c>
      <c r="T23" s="379">
        <f t="shared" si="10"/>
        <v>0.43385241301907962</v>
      </c>
      <c r="U23" s="5"/>
      <c r="V23" s="520">
        <f t="shared" si="10"/>
        <v>0.46340884829794804</v>
      </c>
      <c r="W23" s="5"/>
      <c r="X23" s="256">
        <f>X15/X7</f>
        <v>0.39761431411530818</v>
      </c>
      <c r="Y23" s="282">
        <v>0.38</v>
      </c>
      <c r="Z23" s="282">
        <v>0.46208651399491102</v>
      </c>
      <c r="AA23" s="282">
        <f t="shared" si="7"/>
        <v>0.48807339449541276</v>
      </c>
      <c r="AB23" s="5"/>
      <c r="AC23" s="520">
        <v>0.43857545839210155</v>
      </c>
      <c r="AD23" s="5"/>
      <c r="AE23" s="256">
        <v>0.50755124056094902</v>
      </c>
      <c r="AF23" s="282">
        <v>0.50909973307449596</v>
      </c>
      <c r="AG23" s="281">
        <f>AG15/AG7</f>
        <v>0.51353092783505161</v>
      </c>
      <c r="AH23" s="282">
        <v>0.50479573712255776</v>
      </c>
      <c r="AI23" s="5"/>
      <c r="AJ23" s="520">
        <v>0.50858404637041132</v>
      </c>
      <c r="AL23" s="256">
        <v>0.50847074768466227</v>
      </c>
      <c r="AM23" s="282"/>
      <c r="AN23" s="281"/>
      <c r="AO23" s="282"/>
      <c r="AP23" s="5"/>
      <c r="AQ23" s="520"/>
    </row>
    <row r="24" spans="1:54">
      <c r="A24" s="235" t="s">
        <v>267</v>
      </c>
      <c r="B24" s="235" t="s">
        <v>267</v>
      </c>
      <c r="C24" s="256">
        <v>0.53</v>
      </c>
      <c r="D24" s="281">
        <v>0.50898203592814395</v>
      </c>
      <c r="E24" s="281">
        <v>0.52941176470588236</v>
      </c>
      <c r="F24" s="379">
        <f t="shared" si="8"/>
        <v>0.45320197044334942</v>
      </c>
      <c r="G24" s="258"/>
      <c r="H24" s="294">
        <v>0.50286532951289387</v>
      </c>
      <c r="I24" s="258"/>
      <c r="J24" s="256">
        <f t="shared" si="9"/>
        <v>0.58167330677290829</v>
      </c>
      <c r="K24" s="281">
        <f t="shared" si="9"/>
        <v>0.55666666666666664</v>
      </c>
      <c r="L24" s="281">
        <f t="shared" si="9"/>
        <v>0.51037344398340234</v>
      </c>
      <c r="M24" s="379">
        <f t="shared" si="9"/>
        <v>0.44444444444444448</v>
      </c>
      <c r="N24" s="258"/>
      <c r="O24" s="521">
        <f t="shared" si="12"/>
        <v>0.52222222222222225</v>
      </c>
      <c r="P24" s="5"/>
      <c r="Q24" s="256">
        <v>0.51538461538461544</v>
      </c>
      <c r="R24" s="281">
        <v>0.55197132616487499</v>
      </c>
      <c r="S24" s="281">
        <v>0.46385542168674715</v>
      </c>
      <c r="T24" s="379">
        <f t="shared" si="10"/>
        <v>0.35888501742160267</v>
      </c>
      <c r="U24" s="5"/>
      <c r="V24" s="520">
        <f t="shared" si="10"/>
        <v>0.47063903281519864</v>
      </c>
      <c r="W24" s="5"/>
      <c r="X24" s="256">
        <f t="shared" si="11"/>
        <v>0.50224215246636772</v>
      </c>
      <c r="Y24" s="281">
        <v>0.6</v>
      </c>
      <c r="Z24" s="281">
        <v>0.54098360655737721</v>
      </c>
      <c r="AA24" s="281">
        <f t="shared" si="7"/>
        <v>0.53811659192825123</v>
      </c>
      <c r="AB24" s="5"/>
      <c r="AC24" s="520">
        <v>0.54485049833887045</v>
      </c>
      <c r="AD24" s="5"/>
      <c r="AE24" s="256">
        <v>0.61077844311377205</v>
      </c>
      <c r="AF24" s="281">
        <v>0.59447004608294896</v>
      </c>
      <c r="AG24" s="281">
        <f>AG16/AG8</f>
        <v>0.57786885245901654</v>
      </c>
      <c r="AH24" s="281">
        <v>0.50531914893617025</v>
      </c>
      <c r="AI24" s="5"/>
      <c r="AJ24" s="520">
        <v>0.57230392156862753</v>
      </c>
      <c r="AL24" s="256">
        <v>0</v>
      </c>
      <c r="AM24" s="281"/>
      <c r="AN24" s="281"/>
      <c r="AO24" s="281"/>
      <c r="AP24" s="5"/>
      <c r="AQ24" s="520"/>
    </row>
    <row r="25" spans="1:54">
      <c r="A25" s="235" t="s">
        <v>295</v>
      </c>
      <c r="B25" s="235" t="s">
        <v>296</v>
      </c>
      <c r="C25" s="257">
        <v>-1.97</v>
      </c>
      <c r="D25" s="282">
        <v>2.4666666666666699</v>
      </c>
      <c r="E25" s="282">
        <v>-0.16233090530697228</v>
      </c>
      <c r="F25" s="379">
        <f t="shared" si="8"/>
        <v>0.46025104602509886</v>
      </c>
      <c r="G25" s="258"/>
      <c r="H25" s="295">
        <v>-9.3457943925233794E-3</v>
      </c>
      <c r="I25" s="258"/>
      <c r="J25" s="256">
        <f t="shared" si="9"/>
        <v>6.993006993007006E-3</v>
      </c>
      <c r="K25" s="281">
        <f t="shared" si="9"/>
        <v>4.8780487804878224E-2</v>
      </c>
      <c r="L25" s="281">
        <f t="shared" si="9"/>
        <v>9.079445145018894E-2</v>
      </c>
      <c r="M25" s="379">
        <f t="shared" si="9"/>
        <v>0.825431034482762</v>
      </c>
      <c r="N25" s="258"/>
      <c r="O25" s="521">
        <f t="shared" si="12"/>
        <v>0.24327122153209133</v>
      </c>
      <c r="P25" s="5"/>
      <c r="Q25" s="257">
        <v>0.26142131979695526</v>
      </c>
      <c r="R25" s="282">
        <v>-0.45406546990496499</v>
      </c>
      <c r="S25" s="282">
        <v>0.19521912350597512</v>
      </c>
      <c r="T25" s="379">
        <f t="shared" si="10"/>
        <v>-0.13458950201884201</v>
      </c>
      <c r="U25" s="5"/>
      <c r="V25" s="520">
        <f t="shared" si="10"/>
        <v>-6.0763888888888881E-3</v>
      </c>
      <c r="W25" s="5"/>
      <c r="X25" s="256"/>
      <c r="Y25" s="282"/>
      <c r="Z25" s="282"/>
      <c r="AA25" s="282"/>
      <c r="AB25" s="5"/>
      <c r="AC25" s="520">
        <v>0</v>
      </c>
      <c r="AD25" s="5"/>
      <c r="AE25" s="256"/>
      <c r="AF25" s="282"/>
      <c r="AG25" s="282"/>
      <c r="AH25" s="282"/>
      <c r="AI25" s="5"/>
      <c r="AJ25" s="520"/>
      <c r="AL25" s="256"/>
      <c r="AM25" s="282"/>
      <c r="AN25" s="282"/>
      <c r="AO25" s="282"/>
      <c r="AP25" s="5"/>
      <c r="AQ25" s="520"/>
    </row>
    <row r="26" spans="1:54">
      <c r="A26" s="236"/>
      <c r="B26" s="5"/>
      <c r="C26" s="384"/>
      <c r="D26" s="385"/>
      <c r="E26" s="385"/>
      <c r="F26" s="386"/>
      <c r="G26" s="249"/>
      <c r="H26" s="251"/>
      <c r="I26" s="249"/>
      <c r="J26" s="384"/>
      <c r="K26" s="385"/>
      <c r="L26" s="385"/>
      <c r="M26" s="386"/>
      <c r="N26" s="249"/>
      <c r="O26" s="518"/>
      <c r="P26" s="5"/>
      <c r="Q26" s="384"/>
      <c r="R26" s="385"/>
      <c r="S26" s="503"/>
      <c r="T26" s="386"/>
      <c r="U26" s="5"/>
      <c r="V26" s="518"/>
      <c r="W26" s="5"/>
      <c r="X26" s="384"/>
      <c r="Y26" s="385"/>
      <c r="Z26" s="503"/>
      <c r="AA26" s="385"/>
      <c r="AB26" s="5"/>
      <c r="AC26" s="518"/>
      <c r="AD26" s="5"/>
      <c r="AE26" s="384"/>
      <c r="AF26" s="385"/>
      <c r="AG26" s="503"/>
      <c r="AH26" s="385"/>
      <c r="AI26" s="5"/>
      <c r="AJ26" s="518"/>
      <c r="AL26" s="384"/>
      <c r="AM26" s="385"/>
      <c r="AN26" s="503"/>
      <c r="AO26" s="385"/>
      <c r="AP26" s="5"/>
      <c r="AQ26" s="518"/>
    </row>
    <row r="27" spans="1:54" s="244" customFormat="1" ht="23.25" customHeight="1">
      <c r="A27" s="247" t="s">
        <v>294</v>
      </c>
      <c r="B27" s="248" t="s">
        <v>293</v>
      </c>
      <c r="C27" s="381">
        <v>-209.4</v>
      </c>
      <c r="D27" s="382">
        <v>102.2</v>
      </c>
      <c r="E27" s="382">
        <v>83.2</v>
      </c>
      <c r="F27" s="383">
        <f>H27-E27-D27-C27</f>
        <v>-86.000000000000142</v>
      </c>
      <c r="G27" s="250"/>
      <c r="H27" s="296">
        <v>-110.00000000000017</v>
      </c>
      <c r="I27" s="250"/>
      <c r="J27" s="381">
        <f>SUM(J28:J33)</f>
        <v>-30.2</v>
      </c>
      <c r="K27" s="382">
        <f>SUM(K28:K33)</f>
        <v>202.8</v>
      </c>
      <c r="L27" s="382">
        <f>SUM(L28:L33)</f>
        <v>142.98573000024464</v>
      </c>
      <c r="M27" s="383">
        <f>O27-L27-K27-J27</f>
        <v>6.1742699997555626</v>
      </c>
      <c r="N27" s="250"/>
      <c r="O27" s="522">
        <f>SUM(O28:O33)</f>
        <v>321.76000000000022</v>
      </c>
      <c r="P27" s="243"/>
      <c r="Q27" s="381">
        <v>69.94</v>
      </c>
      <c r="R27" s="382">
        <v>195.23</v>
      </c>
      <c r="S27" s="382">
        <v>144.27000000000001</v>
      </c>
      <c r="T27" s="383">
        <f t="shared" ref="T27:T33" si="13">V27-SUM(Q27:S27)</f>
        <v>40.86000000000007</v>
      </c>
      <c r="U27" s="243"/>
      <c r="V27" s="522">
        <f>SUM(V28:V33)</f>
        <v>450.3</v>
      </c>
      <c r="W27" s="243"/>
      <c r="X27" s="587"/>
      <c r="Y27" s="587"/>
      <c r="Z27" s="587"/>
      <c r="AA27" s="579"/>
      <c r="AB27" s="243"/>
      <c r="AC27" s="573"/>
      <c r="AD27" s="243"/>
      <c r="AE27" s="587"/>
      <c r="AF27" s="587"/>
      <c r="AG27" s="587"/>
      <c r="AH27" s="579"/>
      <c r="AI27" s="243"/>
      <c r="AJ27" s="573"/>
      <c r="AK27" s="243"/>
      <c r="AL27" s="587"/>
      <c r="AM27" s="587"/>
      <c r="AN27" s="587"/>
      <c r="AO27" s="579"/>
      <c r="AP27" s="243"/>
      <c r="AQ27" s="57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</row>
    <row r="28" spans="1:54">
      <c r="A28" s="235" t="s">
        <v>289</v>
      </c>
      <c r="B28" s="235" t="s">
        <v>289</v>
      </c>
      <c r="C28" s="286">
        <v>-236.5</v>
      </c>
      <c r="D28" s="287">
        <v>31.8000000000001</v>
      </c>
      <c r="E28" s="287">
        <v>60.499999999999972</v>
      </c>
      <c r="F28" s="259">
        <f>H28-E28-D28-C28</f>
        <v>-155.10000000000008</v>
      </c>
      <c r="G28" s="260"/>
      <c r="H28" s="253">
        <v>-299.29999999999995</v>
      </c>
      <c r="I28" s="260"/>
      <c r="J28" s="286">
        <v>-97.8</v>
      </c>
      <c r="K28" s="287">
        <v>126.5</v>
      </c>
      <c r="L28" s="287">
        <v>81.485730000244658</v>
      </c>
      <c r="M28" s="259">
        <f>O28-L28-K28-J28</f>
        <v>-50.685730000244646</v>
      </c>
      <c r="N28" s="260"/>
      <c r="O28" s="516">
        <v>59.500000000000007</v>
      </c>
      <c r="P28" s="5"/>
      <c r="Q28" s="286">
        <v>4.8000000000000735</v>
      </c>
      <c r="R28" s="287">
        <v>136.24</v>
      </c>
      <c r="S28" s="504">
        <v>83.659999999999982</v>
      </c>
      <c r="T28" s="259">
        <f t="shared" si="13"/>
        <v>59.299999999999955</v>
      </c>
      <c r="U28" s="5"/>
      <c r="V28" s="516">
        <v>284</v>
      </c>
      <c r="W28" s="5"/>
      <c r="X28" s="588"/>
      <c r="Y28" s="588"/>
      <c r="Z28" s="588"/>
      <c r="AA28" s="580"/>
      <c r="AB28" s="5"/>
      <c r="AC28" s="574"/>
      <c r="AD28" s="5"/>
      <c r="AE28" s="588"/>
      <c r="AF28" s="588"/>
      <c r="AG28" s="588"/>
      <c r="AH28" s="580"/>
      <c r="AI28" s="5"/>
      <c r="AJ28" s="574"/>
      <c r="AL28" s="588"/>
      <c r="AM28" s="588"/>
      <c r="AN28" s="588"/>
      <c r="AO28" s="580"/>
      <c r="AP28" s="5"/>
      <c r="AQ28" s="574"/>
    </row>
    <row r="29" spans="1:54">
      <c r="A29" s="235" t="s">
        <v>290</v>
      </c>
      <c r="B29" s="235" t="s">
        <v>290</v>
      </c>
      <c r="C29" s="288">
        <v>29.6</v>
      </c>
      <c r="D29" s="289">
        <v>58.8</v>
      </c>
      <c r="E29" s="289">
        <v>39.199999999999989</v>
      </c>
      <c r="F29" s="259">
        <f t="shared" ref="F29:F34" si="14">H29-E29-D29-C29</f>
        <v>56.900000000000041</v>
      </c>
      <c r="G29" s="260"/>
      <c r="H29" s="253">
        <v>184.50000000000003</v>
      </c>
      <c r="I29" s="260"/>
      <c r="J29" s="288">
        <v>64.8</v>
      </c>
      <c r="K29" s="289">
        <v>73.400000000000006</v>
      </c>
      <c r="L29" s="289">
        <v>54.3</v>
      </c>
      <c r="M29" s="259">
        <f t="shared" ref="M29:M33" si="15">O29-L29-K29-J29</f>
        <v>38.300000000000168</v>
      </c>
      <c r="N29" s="260"/>
      <c r="O29" s="516">
        <v>230.80000000000015</v>
      </c>
      <c r="P29" s="5"/>
      <c r="Q29" s="288">
        <v>66.000000000000014</v>
      </c>
      <c r="R29" s="289">
        <v>61.6</v>
      </c>
      <c r="S29" s="289">
        <v>18.600000000000108</v>
      </c>
      <c r="T29" s="259">
        <f t="shared" si="13"/>
        <v>-37.500000000000128</v>
      </c>
      <c r="U29" s="5"/>
      <c r="V29" s="516">
        <v>108.7</v>
      </c>
      <c r="W29" s="5"/>
      <c r="X29" s="589"/>
      <c r="Y29" s="589"/>
      <c r="Z29" s="589"/>
      <c r="AA29" s="581"/>
      <c r="AB29" s="5"/>
      <c r="AC29" s="574"/>
      <c r="AD29" s="5"/>
      <c r="AE29" s="589"/>
      <c r="AF29" s="589"/>
      <c r="AG29" s="589"/>
      <c r="AH29" s="581"/>
      <c r="AI29" s="5"/>
      <c r="AJ29" s="574"/>
      <c r="AL29" s="589"/>
      <c r="AM29" s="589"/>
      <c r="AN29" s="589"/>
      <c r="AO29" s="581"/>
      <c r="AP29" s="5"/>
      <c r="AQ29" s="574"/>
    </row>
    <row r="30" spans="1:54">
      <c r="A30" s="235" t="s">
        <v>291</v>
      </c>
      <c r="B30" s="235" t="s">
        <v>291</v>
      </c>
      <c r="C30" s="288">
        <v>1.7</v>
      </c>
      <c r="D30" s="289">
        <v>0.500000000000001</v>
      </c>
      <c r="E30" s="289">
        <v>-0.20000000000000506</v>
      </c>
      <c r="F30" s="259">
        <f t="shared" si="14"/>
        <v>3.5000000000000036</v>
      </c>
      <c r="G30" s="260"/>
      <c r="H30" s="253">
        <v>5.5</v>
      </c>
      <c r="I30" s="260"/>
      <c r="J30" s="288">
        <v>5.4</v>
      </c>
      <c r="K30" s="289">
        <v>5.5</v>
      </c>
      <c r="L30" s="289">
        <v>7.4999999999999893</v>
      </c>
      <c r="M30" s="259">
        <f t="shared" si="15"/>
        <v>27.900000000000013</v>
      </c>
      <c r="N30" s="260"/>
      <c r="O30" s="516">
        <v>46.300000000000004</v>
      </c>
      <c r="P30" s="5"/>
      <c r="Q30" s="288">
        <v>5.7000000000000046</v>
      </c>
      <c r="R30" s="289">
        <v>9.2999999999999901</v>
      </c>
      <c r="S30" s="289">
        <v>8.8000000000000043</v>
      </c>
      <c r="T30" s="259">
        <f t="shared" si="13"/>
        <v>11</v>
      </c>
      <c r="U30" s="5"/>
      <c r="V30" s="516">
        <v>34.799999999999997</v>
      </c>
      <c r="W30" s="5"/>
      <c r="X30" s="589"/>
      <c r="Y30" s="589"/>
      <c r="Z30" s="589"/>
      <c r="AA30" s="581"/>
      <c r="AB30" s="5"/>
      <c r="AC30" s="574"/>
      <c r="AD30" s="5"/>
      <c r="AE30" s="589"/>
      <c r="AF30" s="589"/>
      <c r="AG30" s="589"/>
      <c r="AH30" s="581"/>
      <c r="AI30" s="5"/>
      <c r="AJ30" s="574"/>
      <c r="AL30" s="589"/>
      <c r="AM30" s="589"/>
      <c r="AN30" s="589"/>
      <c r="AO30" s="581"/>
      <c r="AP30" s="5"/>
      <c r="AQ30" s="574"/>
    </row>
    <row r="31" spans="1:54">
      <c r="A31" s="235" t="s">
        <v>307</v>
      </c>
      <c r="B31" s="235" t="s">
        <v>307</v>
      </c>
      <c r="C31" s="288">
        <v>0</v>
      </c>
      <c r="D31" s="289">
        <v>0</v>
      </c>
      <c r="E31" s="289">
        <v>0</v>
      </c>
      <c r="F31" s="259">
        <f t="shared" si="14"/>
        <v>0</v>
      </c>
      <c r="G31" s="260"/>
      <c r="H31" s="253">
        <v>0</v>
      </c>
      <c r="I31" s="260"/>
      <c r="J31" s="288">
        <v>-2.8</v>
      </c>
      <c r="K31" s="289">
        <v>-0.100000000000001</v>
      </c>
      <c r="L31" s="289">
        <v>2.6999999999999993</v>
      </c>
      <c r="M31" s="259">
        <f t="shared" si="15"/>
        <v>-37.640000000000008</v>
      </c>
      <c r="N31" s="260"/>
      <c r="O31" s="516">
        <v>-37.840000000000003</v>
      </c>
      <c r="P31" s="5"/>
      <c r="Q31" s="288">
        <v>-11.559999999999997</v>
      </c>
      <c r="R31" s="289">
        <v>-0.81000000000001304</v>
      </c>
      <c r="S31" s="289">
        <v>24.910000000000007</v>
      </c>
      <c r="T31" s="394">
        <f t="shared" si="13"/>
        <v>4.2600000000000033</v>
      </c>
      <c r="U31" s="5"/>
      <c r="V31" s="516">
        <v>16.8</v>
      </c>
      <c r="W31" s="5"/>
      <c r="X31" s="589"/>
      <c r="Y31" s="589"/>
      <c r="Z31" s="589"/>
      <c r="AA31" s="581"/>
      <c r="AB31" s="5"/>
      <c r="AC31" s="574"/>
      <c r="AD31" s="5"/>
      <c r="AE31" s="589"/>
      <c r="AF31" s="589"/>
      <c r="AG31" s="589"/>
      <c r="AH31" s="581"/>
      <c r="AI31" s="5"/>
      <c r="AJ31" s="574"/>
      <c r="AL31" s="589"/>
      <c r="AM31" s="589"/>
      <c r="AN31" s="589"/>
      <c r="AO31" s="581"/>
      <c r="AP31" s="5"/>
      <c r="AQ31" s="574"/>
    </row>
    <row r="32" spans="1:54">
      <c r="A32" s="235" t="s">
        <v>267</v>
      </c>
      <c r="B32" s="235" t="s">
        <v>267</v>
      </c>
      <c r="C32" s="286">
        <v>3.5</v>
      </c>
      <c r="D32" s="287">
        <v>3</v>
      </c>
      <c r="E32" s="287">
        <v>3.5999999999999996</v>
      </c>
      <c r="F32" s="259">
        <f t="shared" si="14"/>
        <v>-0.50000000000000533</v>
      </c>
      <c r="G32" s="260"/>
      <c r="H32" s="253">
        <v>9.5999999999999943</v>
      </c>
      <c r="I32" s="260"/>
      <c r="J32" s="286">
        <v>3.6</v>
      </c>
      <c r="K32" s="287">
        <v>2.8</v>
      </c>
      <c r="L32" s="287">
        <v>-0.40000000000000568</v>
      </c>
      <c r="M32" s="259">
        <f t="shared" si="15"/>
        <v>-3.8999999999999928</v>
      </c>
      <c r="N32" s="260"/>
      <c r="O32" s="516">
        <v>2.1000000000000014</v>
      </c>
      <c r="P32" s="5"/>
      <c r="Q32" s="286">
        <v>1.0000000000000018</v>
      </c>
      <c r="R32" s="287">
        <v>4.4000000000000004</v>
      </c>
      <c r="S32" s="504">
        <v>5.0000000000000089</v>
      </c>
      <c r="T32" s="394">
        <f t="shared" si="13"/>
        <v>-1.2000000000000117</v>
      </c>
      <c r="U32" s="5"/>
      <c r="V32" s="516">
        <v>9.1999999999999993</v>
      </c>
      <c r="W32" s="5"/>
      <c r="X32" s="588"/>
      <c r="Y32" s="588"/>
      <c r="Z32" s="588"/>
      <c r="AA32" s="580"/>
      <c r="AB32" s="5"/>
      <c r="AC32" s="574"/>
      <c r="AD32" s="5"/>
      <c r="AE32" s="588"/>
      <c r="AF32" s="588"/>
      <c r="AG32" s="588"/>
      <c r="AH32" s="580"/>
      <c r="AI32" s="5"/>
      <c r="AJ32" s="574"/>
      <c r="AL32" s="588"/>
      <c r="AM32" s="588"/>
      <c r="AN32" s="588"/>
      <c r="AO32" s="580"/>
      <c r="AP32" s="5"/>
      <c r="AQ32" s="574"/>
    </row>
    <row r="33" spans="1:54">
      <c r="A33" s="235" t="s">
        <v>295</v>
      </c>
      <c r="B33" s="235" t="s">
        <v>296</v>
      </c>
      <c r="C33" s="288">
        <v>-7.7</v>
      </c>
      <c r="D33" s="289">
        <v>8.1</v>
      </c>
      <c r="E33" s="289">
        <v>-19.900000000000002</v>
      </c>
      <c r="F33" s="259">
        <f t="shared" si="14"/>
        <v>9.1999999999999993</v>
      </c>
      <c r="G33" s="260"/>
      <c r="H33" s="253">
        <v>-10.300000000000002</v>
      </c>
      <c r="I33" s="260"/>
      <c r="J33" s="288">
        <v>-3.4</v>
      </c>
      <c r="K33" s="289">
        <v>-5.3</v>
      </c>
      <c r="L33" s="289">
        <v>-2.5999999999999996</v>
      </c>
      <c r="M33" s="259">
        <f t="shared" si="15"/>
        <v>32.200000000000003</v>
      </c>
      <c r="N33" s="260"/>
      <c r="O33" s="516">
        <v>20.9</v>
      </c>
      <c r="P33" s="5"/>
      <c r="Q33" s="288">
        <v>4</v>
      </c>
      <c r="R33" s="289">
        <v>-15.5</v>
      </c>
      <c r="S33" s="289">
        <v>3.3000000000000025</v>
      </c>
      <c r="T33" s="394">
        <f t="shared" si="13"/>
        <v>4.9999999999999973</v>
      </c>
      <c r="U33" s="5"/>
      <c r="V33" s="516">
        <v>-3.2</v>
      </c>
      <c r="W33" s="5"/>
      <c r="X33" s="589"/>
      <c r="Y33" s="589"/>
      <c r="Z33" s="589"/>
      <c r="AA33" s="581"/>
      <c r="AB33" s="5"/>
      <c r="AC33" s="574"/>
      <c r="AD33" s="5"/>
      <c r="AE33" s="589"/>
      <c r="AF33" s="589"/>
      <c r="AG33" s="589"/>
      <c r="AH33" s="581"/>
      <c r="AI33" s="5"/>
      <c r="AJ33" s="574"/>
      <c r="AL33" s="589"/>
      <c r="AM33" s="589"/>
      <c r="AN33" s="589"/>
      <c r="AO33" s="581"/>
      <c r="AP33" s="5"/>
      <c r="AQ33" s="574"/>
    </row>
    <row r="34" spans="1:54">
      <c r="A34" s="236"/>
      <c r="B34" s="5"/>
      <c r="C34" s="384"/>
      <c r="D34" s="385"/>
      <c r="E34" s="385"/>
      <c r="F34" s="259">
        <f t="shared" si="14"/>
        <v>0</v>
      </c>
      <c r="G34" s="249"/>
      <c r="H34" s="251"/>
      <c r="I34" s="249"/>
      <c r="J34" s="384"/>
      <c r="K34" s="385"/>
      <c r="L34" s="385"/>
      <c r="M34" s="386"/>
      <c r="N34" s="249"/>
      <c r="O34" s="518"/>
      <c r="P34" s="5"/>
      <c r="Q34" s="384"/>
      <c r="R34" s="385"/>
      <c r="S34" s="503"/>
      <c r="T34" s="386"/>
      <c r="U34" s="5"/>
      <c r="V34" s="518"/>
      <c r="W34" s="5"/>
      <c r="X34" s="590"/>
      <c r="Y34" s="590"/>
      <c r="Z34" s="590"/>
      <c r="AA34" s="582"/>
      <c r="AB34" s="5"/>
      <c r="AC34" s="575"/>
      <c r="AD34" s="5"/>
      <c r="AE34" s="590"/>
      <c r="AF34" s="590"/>
      <c r="AG34" s="590"/>
      <c r="AH34" s="582"/>
      <c r="AI34" s="5"/>
      <c r="AJ34" s="575"/>
      <c r="AL34" s="590"/>
      <c r="AM34" s="590"/>
      <c r="AN34" s="590"/>
      <c r="AO34" s="582"/>
      <c r="AP34" s="5"/>
      <c r="AQ34" s="575"/>
    </row>
    <row r="35" spans="1:54" s="244" customFormat="1" ht="23.25" customHeight="1">
      <c r="A35" s="247" t="s">
        <v>277</v>
      </c>
      <c r="B35" s="248" t="s">
        <v>269</v>
      </c>
      <c r="C35" s="387">
        <f>C27/C3</f>
        <v>-0.2713489698069198</v>
      </c>
      <c r="D35" s="388">
        <f>D27/D3</f>
        <v>7.0144131777625254E-2</v>
      </c>
      <c r="E35" s="388">
        <f>E27/E3</f>
        <v>5.1335842537175297E-2</v>
      </c>
      <c r="F35" s="389">
        <f>F27/F3</f>
        <v>-6.9534282018111376E-2</v>
      </c>
      <c r="G35" s="261"/>
      <c r="H35" s="280">
        <v>-2.1627147969014229E-2</v>
      </c>
      <c r="I35" s="261"/>
      <c r="J35" s="387">
        <f>J27/J3</f>
        <v>-2.1278094835482285E-2</v>
      </c>
      <c r="K35" s="388">
        <f>K27/K3</f>
        <v>9.9695211876904943E-2</v>
      </c>
      <c r="L35" s="388">
        <f>L27/L3</f>
        <v>6.9569874396192249E-2</v>
      </c>
      <c r="M35" s="389">
        <f>M27/M3</f>
        <v>3.0371470207774449E-3</v>
      </c>
      <c r="N35" s="249"/>
      <c r="O35" s="519">
        <f t="shared" ref="O35" si="16">O27/O3</f>
        <v>4.2664120821565461E-2</v>
      </c>
      <c r="P35" s="243"/>
      <c r="Q35" s="387">
        <f>Q27/Q3</f>
        <v>3.7366700147457958E-2</v>
      </c>
      <c r="R35" s="388">
        <f>R27/R3</f>
        <v>8.2119121729620589E-2</v>
      </c>
      <c r="S35" s="388">
        <f>S27/S3</f>
        <v>5.9564998389800422E-2</v>
      </c>
      <c r="T35" s="389">
        <f>T27/T3</f>
        <v>1.6663132310001178E-2</v>
      </c>
      <c r="U35" s="243"/>
      <c r="V35" s="519">
        <f>V27/V3</f>
        <v>4.9357140508368688E-2</v>
      </c>
      <c r="W35" s="243"/>
      <c r="X35" s="591"/>
      <c r="Y35" s="591"/>
      <c r="Z35" s="591"/>
      <c r="AA35" s="583"/>
      <c r="AB35" s="243"/>
      <c r="AC35" s="576"/>
      <c r="AD35" s="243"/>
      <c r="AE35" s="591"/>
      <c r="AF35" s="591"/>
      <c r="AG35" s="591"/>
      <c r="AH35" s="583"/>
      <c r="AI35" s="243"/>
      <c r="AJ35" s="576"/>
      <c r="AK35" s="243"/>
      <c r="AL35" s="591"/>
      <c r="AM35" s="591"/>
      <c r="AN35" s="591"/>
      <c r="AO35" s="583"/>
      <c r="AP35" s="243"/>
      <c r="AQ35" s="576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</row>
    <row r="36" spans="1:54">
      <c r="A36" s="235" t="s">
        <v>289</v>
      </c>
      <c r="B36" s="235" t="s">
        <v>289</v>
      </c>
      <c r="C36" s="262">
        <f t="shared" ref="C36:D41" si="17">C28/C4</f>
        <v>-0.76118442227228844</v>
      </c>
      <c r="D36" s="283">
        <f t="shared" si="17"/>
        <v>3.6903794824184863E-2</v>
      </c>
      <c r="E36" s="283">
        <f t="shared" ref="E36:F36" si="18">E28/E4</f>
        <v>6.7552478785171927E-2</v>
      </c>
      <c r="F36" s="379">
        <f t="shared" si="18"/>
        <v>-0.2768159914331611</v>
      </c>
      <c r="G36" s="265"/>
      <c r="H36" s="294">
        <v>-0.11387588935814023</v>
      </c>
      <c r="I36" s="265"/>
      <c r="J36" s="479">
        <f>J28/J4</f>
        <v>-0.17846715328467153</v>
      </c>
      <c r="K36" s="281">
        <f t="shared" ref="K36:M36" si="19">K28/K4</f>
        <v>0.11485382240784456</v>
      </c>
      <c r="L36" s="281">
        <f t="shared" si="19"/>
        <v>7.8082707648743879E-2</v>
      </c>
      <c r="M36" s="379">
        <f t="shared" si="19"/>
        <v>-6.2504158793180081E-2</v>
      </c>
      <c r="N36" s="249"/>
      <c r="O36" s="520">
        <f t="shared" ref="O36" si="20">O28/O4</f>
        <v>1.6981078227118356E-2</v>
      </c>
      <c r="P36" s="5"/>
      <c r="Q36" s="262">
        <f t="shared" ref="Q36:S41" si="21">Q28/Q4</f>
        <v>6.1505343276698097E-3</v>
      </c>
      <c r="R36" s="283">
        <f t="shared" si="21"/>
        <v>0.11824541304310091</v>
      </c>
      <c r="S36" s="283">
        <f t="shared" si="21"/>
        <v>7.513853836412461E-2</v>
      </c>
      <c r="T36" s="379">
        <f>T28/T4</f>
        <v>5.8481839071391206E-2</v>
      </c>
      <c r="U36" s="5"/>
      <c r="V36" s="520">
        <f>V28/V4</f>
        <v>6.9950738916256153E-2</v>
      </c>
      <c r="W36" s="5"/>
      <c r="X36" s="592"/>
      <c r="Y36" s="592"/>
      <c r="Z36" s="592"/>
      <c r="AA36" s="584"/>
      <c r="AB36" s="5"/>
      <c r="AC36" s="577"/>
      <c r="AD36" s="5"/>
      <c r="AE36" s="592"/>
      <c r="AF36" s="592"/>
      <c r="AG36" s="592"/>
      <c r="AH36" s="584"/>
      <c r="AI36" s="5"/>
      <c r="AJ36" s="577"/>
      <c r="AL36" s="592"/>
      <c r="AM36" s="592"/>
      <c r="AN36" s="592"/>
      <c r="AO36" s="584"/>
      <c r="AP36" s="5"/>
      <c r="AQ36" s="577"/>
    </row>
    <row r="37" spans="1:54">
      <c r="A37" s="235" t="s">
        <v>290</v>
      </c>
      <c r="B37" s="235" t="s">
        <v>290</v>
      </c>
      <c r="C37" s="263">
        <f t="shared" si="17"/>
        <v>7.5126903553299498E-2</v>
      </c>
      <c r="D37" s="284">
        <f t="shared" si="17"/>
        <v>0.12462908011869435</v>
      </c>
      <c r="E37" s="284">
        <f t="shared" ref="E37:F37" si="22">E29/E5</f>
        <v>7.7332807259814534E-2</v>
      </c>
      <c r="F37" s="379">
        <f t="shared" si="22"/>
        <v>8.7944358578052578E-2</v>
      </c>
      <c r="G37" s="265"/>
      <c r="H37" s="295">
        <v>9.1350200524830436E-2</v>
      </c>
      <c r="I37" s="265"/>
      <c r="J37" s="479">
        <f t="shared" ref="J37:M37" si="23">J29/J5</f>
        <v>9.7663903541823652E-2</v>
      </c>
      <c r="K37" s="281">
        <f t="shared" si="23"/>
        <v>0.10335116868487752</v>
      </c>
      <c r="L37" s="281">
        <f t="shared" si="23"/>
        <v>7.8707058994057097E-2</v>
      </c>
      <c r="M37" s="379">
        <f t="shared" si="23"/>
        <v>4.8499430163353369E-2</v>
      </c>
      <c r="N37" s="249"/>
      <c r="O37" s="520">
        <f t="shared" ref="O37" si="24">O29/O5</f>
        <v>8.0888795429853208E-2</v>
      </c>
      <c r="P37" s="5"/>
      <c r="Q37" s="263">
        <f t="shared" ref="Q37:R37" si="25">Q29/Q5</f>
        <v>8.8578714266541417E-2</v>
      </c>
      <c r="R37" s="284">
        <f t="shared" si="25"/>
        <v>7.7241379310344832E-2</v>
      </c>
      <c r="S37" s="284">
        <f t="shared" si="21"/>
        <v>2.4348736745647477E-2</v>
      </c>
      <c r="T37" s="379">
        <f t="shared" ref="T37:V41" si="26">T29/T5</f>
        <v>-4.8399586990191173E-2</v>
      </c>
      <c r="U37" s="5"/>
      <c r="V37" s="520">
        <f t="shared" si="26"/>
        <v>3.5277318015123488E-2</v>
      </c>
      <c r="W37" s="5"/>
      <c r="X37" s="593"/>
      <c r="Y37" s="593"/>
      <c r="Z37" s="593"/>
      <c r="AA37" s="585"/>
      <c r="AB37" s="5"/>
      <c r="AC37" s="577"/>
      <c r="AD37" s="5"/>
      <c r="AE37" s="593"/>
      <c r="AF37" s="593"/>
      <c r="AG37" s="593"/>
      <c r="AH37" s="585"/>
      <c r="AI37" s="5"/>
      <c r="AJ37" s="577"/>
      <c r="AL37" s="593"/>
      <c r="AM37" s="593"/>
      <c r="AN37" s="593"/>
      <c r="AO37" s="585"/>
      <c r="AP37" s="5"/>
      <c r="AQ37" s="577"/>
    </row>
    <row r="38" spans="1:54">
      <c r="A38" s="235" t="s">
        <v>291</v>
      </c>
      <c r="B38" s="235" t="s">
        <v>291</v>
      </c>
      <c r="C38" s="263">
        <f t="shared" si="17"/>
        <v>4.9275362318840575E-2</v>
      </c>
      <c r="D38" s="284">
        <f t="shared" si="17"/>
        <v>1.02669404517454E-2</v>
      </c>
      <c r="E38" s="284">
        <f t="shared" ref="E38:F38" si="27">E30/E6</f>
        <v>-3.4843205574913781E-3</v>
      </c>
      <c r="F38" s="379">
        <f t="shared" si="27"/>
        <v>3.5211267605633825E-2</v>
      </c>
      <c r="G38" s="265"/>
      <c r="H38" s="295">
        <v>2.2916666666666665E-2</v>
      </c>
      <c r="I38" s="265"/>
      <c r="J38" s="479">
        <f t="shared" ref="J38:M38" si="28">J30/J6</f>
        <v>5.5842812823164417E-2</v>
      </c>
      <c r="K38" s="281">
        <f t="shared" si="28"/>
        <v>5.7955742887249737E-2</v>
      </c>
      <c r="L38" s="281">
        <f t="shared" si="28"/>
        <v>6.2240663900414855E-2</v>
      </c>
      <c r="M38" s="379">
        <f t="shared" si="28"/>
        <v>0.122422114962703</v>
      </c>
      <c r="N38" s="249"/>
      <c r="O38" s="520">
        <f t="shared" ref="O38" si="29">O30/O6</f>
        <v>8.5740740740740742E-2</v>
      </c>
      <c r="P38" s="5"/>
      <c r="Q38" s="263">
        <f t="shared" ref="Q38:R39" si="30">Q30/Q6</f>
        <v>3.5098522167487711E-2</v>
      </c>
      <c r="R38" s="284">
        <f t="shared" si="30"/>
        <v>4.9732620320855563E-2</v>
      </c>
      <c r="S38" s="284">
        <f t="shared" si="21"/>
        <v>3.8461538461538484E-2</v>
      </c>
      <c r="T38" s="379">
        <f t="shared" si="26"/>
        <v>3.4722222222222217E-2</v>
      </c>
      <c r="U38" s="5"/>
      <c r="V38" s="520">
        <f t="shared" si="26"/>
        <v>3.8882681564245805E-2</v>
      </c>
      <c r="W38" s="5"/>
      <c r="X38" s="593"/>
      <c r="Y38" s="593"/>
      <c r="Z38" s="593"/>
      <c r="AA38" s="585"/>
      <c r="AB38" s="5"/>
      <c r="AC38" s="577"/>
      <c r="AD38" s="5"/>
      <c r="AE38" s="593"/>
      <c r="AF38" s="593"/>
      <c r="AG38" s="593"/>
      <c r="AH38" s="585"/>
      <c r="AI38" s="5"/>
      <c r="AJ38" s="577"/>
      <c r="AL38" s="593"/>
      <c r="AM38" s="593"/>
      <c r="AN38" s="593"/>
      <c r="AO38" s="585"/>
      <c r="AP38" s="5"/>
      <c r="AQ38" s="577"/>
    </row>
    <row r="39" spans="1:54">
      <c r="A39" s="235" t="s">
        <v>307</v>
      </c>
      <c r="B39" s="235" t="s">
        <v>307</v>
      </c>
      <c r="C39" s="263"/>
      <c r="D39" s="284"/>
      <c r="E39" s="284"/>
      <c r="F39" s="379"/>
      <c r="G39" s="265"/>
      <c r="H39" s="253">
        <v>0</v>
      </c>
      <c r="I39" s="265"/>
      <c r="J39" s="479">
        <f t="shared" ref="J39:M39" si="31">J31/J7</f>
        <v>-2.545454545454545</v>
      </c>
      <c r="K39" s="281">
        <f t="shared" si="31"/>
        <v>-2.5575447570332739E-3</v>
      </c>
      <c r="L39" s="281">
        <f t="shared" si="31"/>
        <v>3.2967032967032961E-2</v>
      </c>
      <c r="M39" s="379">
        <f t="shared" si="31"/>
        <v>-0.32787456445993035</v>
      </c>
      <c r="N39" s="249"/>
      <c r="O39" s="520">
        <f t="shared" ref="O39" si="32">O31/O7</f>
        <v>-0.15972984381595612</v>
      </c>
      <c r="P39" s="5"/>
      <c r="Q39" s="263">
        <f t="shared" si="30"/>
        <v>-9.7536280796490016E-2</v>
      </c>
      <c r="R39" s="284">
        <f t="shared" si="30"/>
        <v>-4.4552004840218524E-3</v>
      </c>
      <c r="S39" s="284">
        <f t="shared" si="21"/>
        <v>9.6681544731224547E-2</v>
      </c>
      <c r="T39" s="379">
        <f t="shared" si="26"/>
        <v>1.4941077441077453E-2</v>
      </c>
      <c r="U39" s="5"/>
      <c r="V39" s="520">
        <f t="shared" si="26"/>
        <v>1.9926461866919702E-2</v>
      </c>
      <c r="W39" s="5"/>
      <c r="X39" s="593"/>
      <c r="Y39" s="593"/>
      <c r="Z39" s="593"/>
      <c r="AA39" s="585"/>
      <c r="AB39" s="5"/>
      <c r="AC39" s="577"/>
      <c r="AD39" s="5"/>
      <c r="AE39" s="593"/>
      <c r="AF39" s="593"/>
      <c r="AG39" s="593"/>
      <c r="AH39" s="585"/>
      <c r="AI39" s="5"/>
      <c r="AJ39" s="577"/>
      <c r="AL39" s="593"/>
      <c r="AM39" s="593"/>
      <c r="AN39" s="593"/>
      <c r="AO39" s="585"/>
      <c r="AP39" s="5"/>
      <c r="AQ39" s="577"/>
    </row>
    <row r="40" spans="1:54">
      <c r="A40" s="235" t="s">
        <v>267</v>
      </c>
      <c r="B40" s="235" t="s">
        <v>267</v>
      </c>
      <c r="C40" s="262">
        <f t="shared" si="17"/>
        <v>0.24822695035460993</v>
      </c>
      <c r="D40" s="283">
        <f t="shared" ref="D40:E41" si="33">D32/D8</f>
        <v>0.17964071856287425</v>
      </c>
      <c r="E40" s="283">
        <f t="shared" si="33"/>
        <v>0.19251336898395721</v>
      </c>
      <c r="F40" s="379">
        <f t="shared" ref="F40" si="34">F32/F8</f>
        <v>-2.463054187192144E-2</v>
      </c>
      <c r="G40" s="265"/>
      <c r="H40" s="294">
        <v>0.13753581661891107</v>
      </c>
      <c r="I40" s="265"/>
      <c r="J40" s="479">
        <f t="shared" ref="J40:M40" si="35">J32/J8</f>
        <v>0.14342629482071712</v>
      </c>
      <c r="K40" s="281">
        <f t="shared" si="35"/>
        <v>9.3333333333333324E-2</v>
      </c>
      <c r="L40" s="281">
        <f t="shared" si="35"/>
        <v>-1.6597510373444219E-2</v>
      </c>
      <c r="M40" s="379">
        <f t="shared" si="35"/>
        <v>-0.13541666666666641</v>
      </c>
      <c r="N40" s="249"/>
      <c r="O40" s="520">
        <f t="shared" ref="O40" si="36">O32/O8</f>
        <v>1.9444444444444459E-2</v>
      </c>
      <c r="P40" s="5"/>
      <c r="Q40" s="262">
        <f t="shared" ref="Q40:R40" si="37">Q32/Q8</f>
        <v>3.8461538461538533E-2</v>
      </c>
      <c r="R40" s="283">
        <f t="shared" si="37"/>
        <v>0.15770609318996417</v>
      </c>
      <c r="S40" s="283">
        <f t="shared" si="21"/>
        <v>0.15060240963855451</v>
      </c>
      <c r="T40" s="379">
        <f t="shared" si="26"/>
        <v>-4.1811846689895876E-2</v>
      </c>
      <c r="U40" s="5"/>
      <c r="V40" s="520">
        <f t="shared" si="26"/>
        <v>7.9447322970639028E-2</v>
      </c>
      <c r="W40" s="5"/>
      <c r="X40" s="592"/>
      <c r="Y40" s="592"/>
      <c r="Z40" s="592"/>
      <c r="AA40" s="584"/>
      <c r="AB40" s="5"/>
      <c r="AC40" s="577"/>
      <c r="AD40" s="5"/>
      <c r="AE40" s="592"/>
      <c r="AF40" s="592"/>
      <c r="AG40" s="592"/>
      <c r="AH40" s="584"/>
      <c r="AI40" s="5"/>
      <c r="AJ40" s="577"/>
      <c r="AL40" s="592"/>
      <c r="AM40" s="592"/>
      <c r="AN40" s="592"/>
      <c r="AO40" s="584"/>
      <c r="AP40" s="5"/>
      <c r="AQ40" s="577"/>
    </row>
    <row r="41" spans="1:54" ht="15" thickBot="1">
      <c r="A41" s="235" t="s">
        <v>295</v>
      </c>
      <c r="B41" s="235" t="s">
        <v>296</v>
      </c>
      <c r="C41" s="264">
        <f t="shared" si="17"/>
        <v>-1.9743589743589745</v>
      </c>
      <c r="D41" s="285">
        <f t="shared" si="33"/>
        <v>1.7999999999999998</v>
      </c>
      <c r="E41" s="285">
        <f t="shared" si="33"/>
        <v>-0.20707596253902233</v>
      </c>
      <c r="F41" s="380">
        <f t="shared" ref="F41" si="38">F33/F9</f>
        <v>0.38493723849371903</v>
      </c>
      <c r="G41" s="265"/>
      <c r="H41" s="297">
        <v>-8.0218068535825512E-2</v>
      </c>
      <c r="I41" s="265"/>
      <c r="J41" s="480">
        <f>J33/J9</f>
        <v>-7.9254079254079401E-2</v>
      </c>
      <c r="K41" s="481">
        <f>K33/K9</f>
        <v>-0.2154471544715455</v>
      </c>
      <c r="L41" s="481">
        <f>L33/L9</f>
        <v>-3.2786885245901558E-2</v>
      </c>
      <c r="M41" s="380">
        <f>M33/M9</f>
        <v>0.69396551724138222</v>
      </c>
      <c r="N41" s="249"/>
      <c r="O41" s="523">
        <f t="shared" ref="O41" si="39">O33/O9</f>
        <v>0.10817805383022784</v>
      </c>
      <c r="P41" s="5"/>
      <c r="Q41" s="264">
        <f t="shared" ref="Q41:R41" si="40">Q33/Q9</f>
        <v>0.10152284263959425</v>
      </c>
      <c r="R41" s="285">
        <f t="shared" si="40"/>
        <v>-0.54558254135867845</v>
      </c>
      <c r="S41" s="285">
        <f t="shared" si="21"/>
        <v>0.13147410358565675</v>
      </c>
      <c r="T41" s="380">
        <f t="shared" si="26"/>
        <v>0.2243158366980697</v>
      </c>
      <c r="U41" s="5"/>
      <c r="V41" s="523">
        <f t="shared" si="26"/>
        <v>-2.777777777777778E-2</v>
      </c>
      <c r="W41" s="5"/>
      <c r="X41" s="594"/>
      <c r="Y41" s="594"/>
      <c r="Z41" s="594"/>
      <c r="AA41" s="586"/>
      <c r="AB41" s="5"/>
      <c r="AC41" s="578"/>
      <c r="AD41" s="5"/>
      <c r="AE41" s="594"/>
      <c r="AF41" s="594"/>
      <c r="AG41" s="594"/>
      <c r="AH41" s="586"/>
      <c r="AI41" s="5"/>
      <c r="AJ41" s="578"/>
      <c r="AL41" s="594"/>
      <c r="AM41" s="594"/>
      <c r="AN41" s="594"/>
      <c r="AO41" s="586"/>
      <c r="AP41" s="5"/>
      <c r="AQ41" s="578"/>
    </row>
    <row r="42" spans="1:54" ht="15" thickBot="1">
      <c r="A42" s="237"/>
      <c r="B42" s="237"/>
      <c r="C42" s="547"/>
      <c r="D42" s="547"/>
      <c r="E42" s="547"/>
      <c r="F42" s="548"/>
      <c r="G42" s="548"/>
      <c r="H42" s="548"/>
      <c r="I42" s="548"/>
      <c r="J42" s="548"/>
      <c r="K42" s="549"/>
      <c r="L42" s="549"/>
      <c r="M42" s="548"/>
      <c r="N42" s="249"/>
      <c r="O42" s="550"/>
      <c r="P42" s="5"/>
      <c r="Q42" s="547"/>
      <c r="R42" s="547"/>
      <c r="S42" s="547"/>
      <c r="T42" s="548"/>
      <c r="U42" s="5"/>
      <c r="V42" s="550"/>
      <c r="W42" s="5"/>
      <c r="X42" s="547"/>
      <c r="Y42" s="547"/>
      <c r="Z42" s="547"/>
      <c r="AA42" s="547"/>
      <c r="AB42" s="5"/>
      <c r="AC42" s="550"/>
      <c r="AD42" s="5"/>
      <c r="AE42" s="5"/>
      <c r="AF42" s="5"/>
      <c r="AG42" s="547"/>
      <c r="AH42" s="547"/>
      <c r="AI42" s="5"/>
      <c r="AJ42" s="550"/>
      <c r="AL42" s="5"/>
      <c r="AM42" s="5"/>
      <c r="AN42" s="547"/>
      <c r="AO42" s="547"/>
      <c r="AP42" s="5"/>
      <c r="AQ42" s="550"/>
    </row>
    <row r="43" spans="1:54">
      <c r="A43" s="247" t="s">
        <v>340</v>
      </c>
      <c r="B43" s="248" t="s">
        <v>269</v>
      </c>
      <c r="C43" s="547"/>
      <c r="D43" s="547"/>
      <c r="E43" s="547"/>
      <c r="F43" s="548"/>
      <c r="G43" s="548"/>
      <c r="H43" s="548"/>
      <c r="I43" s="548"/>
      <c r="J43" s="548"/>
      <c r="K43" s="549"/>
      <c r="L43" s="549"/>
      <c r="M43" s="548"/>
      <c r="N43" s="249"/>
      <c r="O43" s="550"/>
      <c r="P43" s="5"/>
      <c r="Q43" s="381">
        <v>-56.500000000000114</v>
      </c>
      <c r="R43" s="382">
        <v>31.3</v>
      </c>
      <c r="S43" s="382">
        <f>SUM(S44:S48)</f>
        <v>24</v>
      </c>
      <c r="T43" s="596">
        <f>SUM(T44:T48)</f>
        <v>-50.099999999999994</v>
      </c>
      <c r="U43" s="243"/>
      <c r="V43" s="522">
        <f>SUM(Q43:T43)</f>
        <v>-51.300000000000111</v>
      </c>
      <c r="W43" s="243"/>
      <c r="X43" s="381">
        <v>-67.000000000000227</v>
      </c>
      <c r="Y43" s="382">
        <v>79.3</v>
      </c>
      <c r="Z43" s="382">
        <v>76.199999999999363</v>
      </c>
      <c r="AA43" s="267">
        <f>AC43-SUM(X43:Z43)</f>
        <v>95.400000000000503</v>
      </c>
      <c r="AB43" s="243"/>
      <c r="AC43" s="522">
        <v>183.89999999999964</v>
      </c>
      <c r="AD43" s="5"/>
      <c r="AE43" s="381">
        <v>150.6</v>
      </c>
      <c r="AF43" s="382">
        <v>262.5</v>
      </c>
      <c r="AG43" s="382">
        <v>328</v>
      </c>
      <c r="AH43" s="267">
        <v>294.49999999999943</v>
      </c>
      <c r="AI43" s="243"/>
      <c r="AJ43" s="603">
        <v>1035.5999999999995</v>
      </c>
      <c r="AL43" s="381">
        <f>SUM(AL44:AL48)</f>
        <v>215.49999999999994</v>
      </c>
      <c r="AM43" s="382"/>
      <c r="AN43" s="382"/>
      <c r="AO43" s="267"/>
      <c r="AP43" s="243"/>
      <c r="AQ43" s="603"/>
    </row>
    <row r="44" spans="1:54">
      <c r="A44" s="235" t="s">
        <v>289</v>
      </c>
      <c r="B44" s="235" t="s">
        <v>289</v>
      </c>
      <c r="C44" s="547"/>
      <c r="D44" s="547"/>
      <c r="E44" s="547"/>
      <c r="F44" s="548"/>
      <c r="G44" s="548"/>
      <c r="H44" s="548"/>
      <c r="I44" s="548"/>
      <c r="J44" s="548"/>
      <c r="K44" s="549"/>
      <c r="L44" s="549"/>
      <c r="M44" s="548"/>
      <c r="N44" s="249"/>
      <c r="O44" s="550"/>
      <c r="P44" s="5"/>
      <c r="Q44" s="286">
        <v>-84.399999999999977</v>
      </c>
      <c r="R44" s="287">
        <v>9.5</v>
      </c>
      <c r="S44" s="571">
        <v>11.4</v>
      </c>
      <c r="T44" s="597">
        <v>-22.1</v>
      </c>
      <c r="U44" s="5"/>
      <c r="V44" s="516">
        <f>SUM(Q44:T44)</f>
        <v>-85.59999999999998</v>
      </c>
      <c r="W44" s="5"/>
      <c r="X44" s="286">
        <v>-41.799999999999955</v>
      </c>
      <c r="Y44" s="287">
        <v>115.2</v>
      </c>
      <c r="Z44" s="504">
        <v>107.09999999999991</v>
      </c>
      <c r="AA44" s="271">
        <f t="shared" ref="AA44:AA49" si="41">AC44-SUM(X44:Z44)</f>
        <v>135.09999999999974</v>
      </c>
      <c r="AB44" s="5"/>
      <c r="AC44" s="516">
        <v>315.59999999999968</v>
      </c>
      <c r="AD44" s="5"/>
      <c r="AE44" s="286">
        <v>108.49890056239499</v>
      </c>
      <c r="AF44" s="287">
        <v>207</v>
      </c>
      <c r="AG44" s="504">
        <v>183.50000000000023</v>
      </c>
      <c r="AH44" s="271">
        <v>116.90109943760535</v>
      </c>
      <c r="AI44" s="5"/>
      <c r="AJ44" s="601">
        <v>615.90000000000055</v>
      </c>
      <c r="AL44" s="286">
        <v>119.89999999999998</v>
      </c>
      <c r="AM44" s="287"/>
      <c r="AN44" s="504"/>
      <c r="AO44" s="271"/>
      <c r="AP44" s="5"/>
      <c r="AQ44" s="601"/>
    </row>
    <row r="45" spans="1:54">
      <c r="A45" s="235" t="s">
        <v>290</v>
      </c>
      <c r="B45" s="235" t="s">
        <v>290</v>
      </c>
      <c r="C45" s="547"/>
      <c r="D45" s="547"/>
      <c r="E45" s="547"/>
      <c r="F45" s="548"/>
      <c r="G45" s="548"/>
      <c r="H45" s="548"/>
      <c r="I45" s="548"/>
      <c r="J45" s="548"/>
      <c r="K45" s="549"/>
      <c r="L45" s="549"/>
      <c r="M45" s="548"/>
      <c r="N45" s="249"/>
      <c r="O45" s="550"/>
      <c r="P45" s="5"/>
      <c r="Q45" s="288">
        <v>47.100000000000023</v>
      </c>
      <c r="R45" s="289">
        <v>31.1</v>
      </c>
      <c r="S45" s="289">
        <v>-16.100000000000001</v>
      </c>
      <c r="T45" s="597">
        <v>-43.6</v>
      </c>
      <c r="U45" s="5"/>
      <c r="V45" s="516">
        <f t="shared" ref="V45:V49" si="42">SUM(Q45:T45)</f>
        <v>18.500000000000014</v>
      </c>
      <c r="W45" s="5"/>
      <c r="X45" s="288">
        <v>-4.5999999999999659</v>
      </c>
      <c r="Y45" s="289">
        <v>-12.7</v>
      </c>
      <c r="Z45" s="289">
        <v>-50.799999999999955</v>
      </c>
      <c r="AA45" s="270">
        <f t="shared" si="41"/>
        <v>-57.400000000000077</v>
      </c>
      <c r="AB45" s="5"/>
      <c r="AC45" s="516">
        <v>-125.5</v>
      </c>
      <c r="AD45" s="5"/>
      <c r="AE45" s="288">
        <v>12.0113575910318</v>
      </c>
      <c r="AF45" s="289">
        <v>-2.50000000000006</v>
      </c>
      <c r="AG45" s="289">
        <v>61.999999999999943</v>
      </c>
      <c r="AH45" s="270">
        <v>68.988642408968317</v>
      </c>
      <c r="AI45" s="5"/>
      <c r="AJ45" s="601">
        <v>140.5</v>
      </c>
      <c r="AL45" s="288">
        <v>53.199999999999989</v>
      </c>
      <c r="AM45" s="289"/>
      <c r="AN45" s="289"/>
      <c r="AO45" s="270"/>
      <c r="AP45" s="5"/>
      <c r="AQ45" s="601"/>
    </row>
    <row r="46" spans="1:54">
      <c r="A46" s="235" t="s">
        <v>291</v>
      </c>
      <c r="B46" s="235" t="s">
        <v>291</v>
      </c>
      <c r="C46" s="547"/>
      <c r="D46" s="547"/>
      <c r="E46" s="547"/>
      <c r="F46" s="548"/>
      <c r="G46" s="548"/>
      <c r="H46" s="548"/>
      <c r="I46" s="548"/>
      <c r="J46" s="548"/>
      <c r="K46" s="549"/>
      <c r="L46" s="549"/>
      <c r="M46" s="548"/>
      <c r="N46" s="249"/>
      <c r="O46" s="550"/>
      <c r="P46" s="5"/>
      <c r="Q46" s="288">
        <v>-1.6999999999999886</v>
      </c>
      <c r="R46" s="289">
        <v>-4</v>
      </c>
      <c r="S46" s="289">
        <v>6</v>
      </c>
      <c r="T46" s="597">
        <v>9.1999999999999993</v>
      </c>
      <c r="U46" s="5"/>
      <c r="V46" s="516">
        <f t="shared" si="42"/>
        <v>9.5000000000000107</v>
      </c>
      <c r="W46" s="5"/>
      <c r="X46" s="288">
        <v>-4.3999999999999915</v>
      </c>
      <c r="Y46" s="289">
        <v>-5.9</v>
      </c>
      <c r="Z46" s="289">
        <v>-7.1000000000000512</v>
      </c>
      <c r="AA46" s="270">
        <f t="shared" si="41"/>
        <v>-27.39999999999997</v>
      </c>
      <c r="AB46" s="5"/>
      <c r="AC46" s="516">
        <v>-44.800000000000011</v>
      </c>
      <c r="AD46" s="5"/>
      <c r="AE46" s="288">
        <v>-3.1227465987759202</v>
      </c>
      <c r="AF46" s="289">
        <v>6.1000000000000103</v>
      </c>
      <c r="AG46" s="289">
        <v>17.399999999999949</v>
      </c>
      <c r="AH46" s="270">
        <v>29.222746598775984</v>
      </c>
      <c r="AI46" s="5"/>
      <c r="AJ46" s="601">
        <v>49.600000000000023</v>
      </c>
      <c r="AL46" s="288">
        <v>15</v>
      </c>
      <c r="AM46" s="289"/>
      <c r="AN46" s="289"/>
      <c r="AO46" s="270"/>
      <c r="AP46" s="5"/>
      <c r="AQ46" s="601"/>
    </row>
    <row r="47" spans="1:54">
      <c r="A47" s="235" t="s">
        <v>307</v>
      </c>
      <c r="B47" s="235" t="s">
        <v>307</v>
      </c>
      <c r="C47" s="547"/>
      <c r="D47" s="547"/>
      <c r="E47" s="547"/>
      <c r="F47" s="548"/>
      <c r="G47" s="548"/>
      <c r="H47" s="548"/>
      <c r="I47" s="548"/>
      <c r="J47" s="548"/>
      <c r="K47" s="549"/>
      <c r="L47" s="549"/>
      <c r="M47" s="548"/>
      <c r="N47" s="249"/>
      <c r="O47" s="550"/>
      <c r="P47" s="5"/>
      <c r="Q47" s="288">
        <v>-17.519999999999989</v>
      </c>
      <c r="R47" s="289">
        <v>-8.5</v>
      </c>
      <c r="S47" s="289">
        <v>19.3</v>
      </c>
      <c r="T47" s="597">
        <v>7.7</v>
      </c>
      <c r="U47" s="5"/>
      <c r="V47" s="516">
        <f t="shared" si="42"/>
        <v>0.98000000000001197</v>
      </c>
      <c r="W47" s="5"/>
      <c r="X47" s="288">
        <v>-17.400000000000006</v>
      </c>
      <c r="Y47" s="289">
        <v>-17.8</v>
      </c>
      <c r="Z47" s="289">
        <v>25.099999999999994</v>
      </c>
      <c r="AA47" s="270">
        <f t="shared" si="41"/>
        <v>42.700000000000031</v>
      </c>
      <c r="AB47" s="5"/>
      <c r="AC47" s="516">
        <v>32.600000000000023</v>
      </c>
      <c r="AD47" s="5"/>
      <c r="AE47" s="288">
        <v>33.445469295140597</v>
      </c>
      <c r="AF47" s="289">
        <v>51.5</v>
      </c>
      <c r="AG47" s="289">
        <v>63.900000000000034</v>
      </c>
      <c r="AH47" s="270">
        <v>82.854530704859542</v>
      </c>
      <c r="AI47" s="5"/>
      <c r="AJ47" s="601">
        <v>231.70000000000016</v>
      </c>
      <c r="AL47" s="288">
        <v>30.299999999999983</v>
      </c>
      <c r="AM47" s="289"/>
      <c r="AN47" s="289"/>
      <c r="AO47" s="270"/>
      <c r="AP47" s="5"/>
      <c r="AQ47" s="601"/>
    </row>
    <row r="48" spans="1:54">
      <c r="A48" s="235" t="s">
        <v>267</v>
      </c>
      <c r="B48" s="235" t="s">
        <v>267</v>
      </c>
      <c r="C48" s="547"/>
      <c r="D48" s="547"/>
      <c r="E48" s="547"/>
      <c r="F48" s="548"/>
      <c r="G48" s="548"/>
      <c r="H48" s="548"/>
      <c r="I48" s="548"/>
      <c r="J48" s="548"/>
      <c r="K48" s="549"/>
      <c r="L48" s="549"/>
      <c r="M48" s="548"/>
      <c r="N48" s="249"/>
      <c r="O48" s="550"/>
      <c r="P48" s="5"/>
      <c r="Q48" s="286">
        <v>0</v>
      </c>
      <c r="R48" s="287">
        <v>3.2</v>
      </c>
      <c r="S48" s="571">
        <v>3.4</v>
      </c>
      <c r="T48" s="597">
        <v>-1.3</v>
      </c>
      <c r="U48" s="5"/>
      <c r="V48" s="516">
        <f t="shared" si="42"/>
        <v>5.3</v>
      </c>
      <c r="W48" s="5"/>
      <c r="X48" s="286">
        <v>1.1999999999999975</v>
      </c>
      <c r="Y48" s="287">
        <v>0.5</v>
      </c>
      <c r="Z48" s="504">
        <v>1.9000000000000057</v>
      </c>
      <c r="AA48" s="271">
        <f t="shared" si="41"/>
        <v>2.3999999999999968</v>
      </c>
      <c r="AB48" s="5"/>
      <c r="AC48" s="516">
        <v>6</v>
      </c>
      <c r="AD48" s="5"/>
      <c r="AE48" s="286">
        <v>-0.23054251782771801</v>
      </c>
      <c r="AF48" s="287">
        <v>0.40000000000000402</v>
      </c>
      <c r="AG48" s="504">
        <v>1.2000000000000028</v>
      </c>
      <c r="AH48" s="271">
        <v>-3.4694574821722832</v>
      </c>
      <c r="AI48" s="5"/>
      <c r="AJ48" s="601">
        <v>-2.0999999999999943</v>
      </c>
      <c r="AL48" s="286">
        <v>-2.9000000000000004</v>
      </c>
      <c r="AM48" s="287"/>
      <c r="AN48" s="504"/>
      <c r="AO48" s="271"/>
      <c r="AP48" s="5"/>
      <c r="AQ48" s="601"/>
    </row>
    <row r="49" spans="1:54" ht="15" thickBot="1">
      <c r="A49" s="235" t="s">
        <v>295</v>
      </c>
      <c r="B49" s="235" t="s">
        <v>296</v>
      </c>
      <c r="C49" s="547"/>
      <c r="D49" s="547"/>
      <c r="E49" s="547"/>
      <c r="F49" s="548"/>
      <c r="G49" s="548"/>
      <c r="H49" s="548"/>
      <c r="I49" s="548"/>
      <c r="J49" s="548"/>
      <c r="K49" s="549"/>
      <c r="L49" s="549"/>
      <c r="M49" s="548"/>
      <c r="N49" s="249"/>
      <c r="O49" s="550"/>
      <c r="P49" s="5"/>
      <c r="Q49" s="561"/>
      <c r="R49" s="551"/>
      <c r="S49" s="551"/>
      <c r="T49" s="598"/>
      <c r="U49" s="5"/>
      <c r="V49" s="552">
        <f t="shared" si="42"/>
        <v>0</v>
      </c>
      <c r="W49" s="5"/>
      <c r="X49" s="561">
        <v>0</v>
      </c>
      <c r="Y49" s="551">
        <v>0</v>
      </c>
      <c r="Z49" s="551">
        <v>0</v>
      </c>
      <c r="AA49" s="302">
        <f t="shared" si="41"/>
        <v>0</v>
      </c>
      <c r="AB49" s="5"/>
      <c r="AC49" s="552">
        <v>0</v>
      </c>
      <c r="AD49" s="5"/>
      <c r="AE49" s="561"/>
      <c r="AF49" s="551"/>
      <c r="AG49" s="551"/>
      <c r="AH49" s="302">
        <v>0</v>
      </c>
      <c r="AI49" s="5"/>
      <c r="AJ49" s="602"/>
      <c r="AL49" s="561"/>
      <c r="AM49" s="551"/>
      <c r="AN49" s="551"/>
      <c r="AO49" s="302"/>
      <c r="AP49" s="5"/>
      <c r="AQ49" s="602"/>
    </row>
    <row r="50" spans="1:54" ht="15" thickBot="1">
      <c r="A50" s="237"/>
      <c r="B50" s="237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49"/>
      <c r="O50" s="249"/>
      <c r="P50" s="249"/>
      <c r="Q50" s="254"/>
      <c r="R50" s="254"/>
      <c r="S50" s="254"/>
      <c r="T50" s="254"/>
      <c r="U50" s="5"/>
      <c r="V50" s="599"/>
      <c r="W50" s="5"/>
      <c r="X50" s="254"/>
      <c r="Y50" s="254"/>
      <c r="Z50" s="254"/>
      <c r="AA50" s="254"/>
      <c r="AB50" s="5"/>
      <c r="AC50" s="249"/>
      <c r="AD50" s="5"/>
      <c r="AE50" s="254"/>
      <c r="AF50" s="5"/>
      <c r="AG50" s="254"/>
      <c r="AH50" s="254"/>
      <c r="AI50" s="5"/>
      <c r="AJ50" s="250"/>
      <c r="AL50" s="254"/>
      <c r="AM50" s="5"/>
      <c r="AN50" s="254"/>
      <c r="AO50" s="254"/>
      <c r="AP50" s="5"/>
      <c r="AQ50" s="250"/>
    </row>
    <row r="51" spans="1:54">
      <c r="A51" s="247" t="s">
        <v>341</v>
      </c>
      <c r="B51" s="248" t="s">
        <v>269</v>
      </c>
      <c r="C51" s="547"/>
      <c r="D51" s="547"/>
      <c r="E51" s="547"/>
      <c r="F51" s="548"/>
      <c r="G51" s="548"/>
      <c r="H51" s="548"/>
      <c r="I51" s="548"/>
      <c r="J51" s="548"/>
      <c r="K51" s="549"/>
      <c r="L51" s="549"/>
      <c r="M51" s="548"/>
      <c r="N51" s="249"/>
      <c r="O51" s="550"/>
      <c r="P51" s="5"/>
      <c r="Q51" s="381">
        <v>89.299999999999898</v>
      </c>
      <c r="R51" s="382">
        <v>179</v>
      </c>
      <c r="S51" s="382">
        <f>SUM(S52:S56)</f>
        <v>172.89999999999998</v>
      </c>
      <c r="T51" s="596">
        <f>SUM(T52:T56)</f>
        <v>94.000000000000014</v>
      </c>
      <c r="U51" s="243"/>
      <c r="V51" s="522">
        <f>SUM(Q51:T51)</f>
        <v>535.19999999999993</v>
      </c>
      <c r="W51" s="243"/>
      <c r="X51" s="381">
        <v>88.599999999999767</v>
      </c>
      <c r="Y51" s="564">
        <v>223.7</v>
      </c>
      <c r="Z51" s="382">
        <v>229.49999999999937</v>
      </c>
      <c r="AA51" s="267">
        <f>AC51-SUM(X51:Z51)</f>
        <v>236.60000000000059</v>
      </c>
      <c r="AB51" s="243"/>
      <c r="AC51" s="522">
        <v>778.39999999999964</v>
      </c>
      <c r="AD51" s="5"/>
      <c r="AE51" s="381">
        <v>300.5</v>
      </c>
      <c r="AF51" s="564">
        <v>406.9</v>
      </c>
      <c r="AG51" s="382">
        <v>479</v>
      </c>
      <c r="AH51" s="267">
        <v>448.29999999999836</v>
      </c>
      <c r="AI51" s="243"/>
      <c r="AJ51" s="603">
        <v>1634.6999999999985</v>
      </c>
      <c r="AL51" s="381">
        <f>SUM(AL52:AL56)</f>
        <v>376.99999999999994</v>
      </c>
      <c r="AM51" s="564"/>
      <c r="AN51" s="382"/>
      <c r="AO51" s="267"/>
      <c r="AP51" s="243"/>
      <c r="AQ51" s="603"/>
    </row>
    <row r="52" spans="1:54">
      <c r="A52" s="235" t="s">
        <v>289</v>
      </c>
      <c r="B52" s="235" t="s">
        <v>289</v>
      </c>
      <c r="C52" s="547"/>
      <c r="D52" s="547"/>
      <c r="E52" s="547"/>
      <c r="F52" s="548"/>
      <c r="G52" s="548"/>
      <c r="H52" s="548"/>
      <c r="I52" s="548"/>
      <c r="J52" s="548"/>
      <c r="K52" s="549"/>
      <c r="L52" s="549"/>
      <c r="M52" s="548"/>
      <c r="N52" s="249"/>
      <c r="O52" s="550"/>
      <c r="P52" s="5"/>
      <c r="Q52" s="286">
        <v>26.500000000000028</v>
      </c>
      <c r="R52" s="287">
        <v>118.9</v>
      </c>
      <c r="S52" s="571">
        <v>119.2</v>
      </c>
      <c r="T52" s="597">
        <v>74.900000000000006</v>
      </c>
      <c r="U52" s="5"/>
      <c r="V52" s="516">
        <f>SUM(Q52:T52)</f>
        <v>339.5</v>
      </c>
      <c r="W52" s="5"/>
      <c r="X52" s="286">
        <v>66.30000000000004</v>
      </c>
      <c r="Y52" s="565">
        <v>214.1</v>
      </c>
      <c r="Z52" s="504">
        <v>201.59999999999991</v>
      </c>
      <c r="AA52" s="271">
        <f t="shared" ref="AA52:AA57" si="43">AC52-SUM(X52:Z52)</f>
        <v>209.99999999999972</v>
      </c>
      <c r="AB52" s="5"/>
      <c r="AC52" s="516">
        <v>691.99999999999966</v>
      </c>
      <c r="AD52" s="5"/>
      <c r="AE52" s="286">
        <v>196.026940526381</v>
      </c>
      <c r="AF52" s="565">
        <v>291.7</v>
      </c>
      <c r="AG52" s="504">
        <v>276.40000000000026</v>
      </c>
      <c r="AH52" s="271">
        <v>207.47305947361929</v>
      </c>
      <c r="AI52" s="5"/>
      <c r="AJ52" s="516">
        <v>971.60000000000059</v>
      </c>
      <c r="AL52" s="286">
        <v>214.7</v>
      </c>
      <c r="AM52" s="565"/>
      <c r="AN52" s="504"/>
      <c r="AO52" s="271"/>
      <c r="AP52" s="5"/>
      <c r="AQ52" s="516"/>
    </row>
    <row r="53" spans="1:54">
      <c r="A53" s="235" t="s">
        <v>290</v>
      </c>
      <c r="B53" s="235" t="s">
        <v>290</v>
      </c>
      <c r="C53" s="547"/>
      <c r="D53" s="547"/>
      <c r="E53" s="547"/>
      <c r="F53" s="548"/>
      <c r="G53" s="548"/>
      <c r="H53" s="548"/>
      <c r="I53" s="548"/>
      <c r="J53" s="548"/>
      <c r="K53" s="549"/>
      <c r="L53" s="549"/>
      <c r="M53" s="548"/>
      <c r="N53" s="249"/>
      <c r="O53" s="550"/>
      <c r="P53" s="5"/>
      <c r="Q53" s="288">
        <v>62.500000000000021</v>
      </c>
      <c r="R53" s="289">
        <v>47.4</v>
      </c>
      <c r="S53" s="289">
        <v>1.2</v>
      </c>
      <c r="T53" s="597">
        <v>-24.3</v>
      </c>
      <c r="U53" s="5"/>
      <c r="V53" s="516">
        <f t="shared" ref="V53:V57" si="44">SUM(Q53:T53)</f>
        <v>86.800000000000026</v>
      </c>
      <c r="W53" s="5"/>
      <c r="X53" s="288">
        <v>12.500000000000036</v>
      </c>
      <c r="Y53" s="289">
        <v>7</v>
      </c>
      <c r="Z53" s="289">
        <v>-27.899999999999949</v>
      </c>
      <c r="AA53" s="270">
        <f t="shared" si="43"/>
        <v>-35.900000000000084</v>
      </c>
      <c r="AB53" s="5"/>
      <c r="AC53" s="516">
        <v>-44.3</v>
      </c>
      <c r="AD53" s="5"/>
      <c r="AE53" s="288">
        <v>33.404430119965099</v>
      </c>
      <c r="AF53" s="289">
        <v>20.1999999999999</v>
      </c>
      <c r="AG53" s="289">
        <v>78.199999999999932</v>
      </c>
      <c r="AH53" s="270">
        <v>86.695569880035066</v>
      </c>
      <c r="AI53" s="5"/>
      <c r="AJ53" s="516">
        <v>218.5</v>
      </c>
      <c r="AL53" s="288">
        <v>75.899999999999991</v>
      </c>
      <c r="AM53" s="289"/>
      <c r="AN53" s="289"/>
      <c r="AO53" s="270"/>
      <c r="AP53" s="5"/>
      <c r="AQ53" s="516"/>
      <c r="AR53" s="607"/>
      <c r="AS53" s="607"/>
      <c r="AT53" s="606"/>
    </row>
    <row r="54" spans="1:54">
      <c r="A54" s="235" t="s">
        <v>291</v>
      </c>
      <c r="B54" s="235" t="s">
        <v>291</v>
      </c>
      <c r="C54" s="547"/>
      <c r="D54" s="547"/>
      <c r="E54" s="547"/>
      <c r="F54" s="548"/>
      <c r="G54" s="548"/>
      <c r="H54" s="548"/>
      <c r="I54" s="548"/>
      <c r="J54" s="548"/>
      <c r="K54" s="549"/>
      <c r="L54" s="549"/>
      <c r="M54" s="548"/>
      <c r="N54" s="249"/>
      <c r="O54" s="550"/>
      <c r="P54" s="5"/>
      <c r="Q54" s="288">
        <v>-9.9999999999988542E-2</v>
      </c>
      <c r="R54" s="289">
        <v>-2.7</v>
      </c>
      <c r="S54" s="289">
        <v>8.1</v>
      </c>
      <c r="T54" s="597">
        <v>12</v>
      </c>
      <c r="U54" s="5"/>
      <c r="V54" s="516">
        <f t="shared" si="44"/>
        <v>17.300000000000011</v>
      </c>
      <c r="W54" s="5"/>
      <c r="X54" s="288">
        <v>0.50000000000000888</v>
      </c>
      <c r="Y54" s="289">
        <v>-2.4</v>
      </c>
      <c r="Z54" s="289">
        <v>-2.4000000000000519</v>
      </c>
      <c r="AA54" s="270">
        <f t="shared" si="43"/>
        <v>-22.299999999999969</v>
      </c>
      <c r="AB54" s="5"/>
      <c r="AC54" s="516">
        <v>-26.600000000000012</v>
      </c>
      <c r="AD54" s="5"/>
      <c r="AE54" s="288">
        <v>2.0211630818617201</v>
      </c>
      <c r="AF54" s="289">
        <v>11.4</v>
      </c>
      <c r="AG54" s="289">
        <v>22.99999999999995</v>
      </c>
      <c r="AH54" s="270">
        <v>35.178836918138352</v>
      </c>
      <c r="AI54" s="5"/>
      <c r="AJ54" s="516">
        <v>71.600000000000023</v>
      </c>
      <c r="AL54" s="288">
        <v>19.100000000000001</v>
      </c>
      <c r="AM54" s="289"/>
      <c r="AN54" s="289"/>
      <c r="AO54" s="270"/>
      <c r="AP54" s="5"/>
      <c r="AQ54" s="516"/>
    </row>
    <row r="55" spans="1:54">
      <c r="A55" s="235" t="s">
        <v>307</v>
      </c>
      <c r="B55" s="235" t="s">
        <v>307</v>
      </c>
      <c r="C55" s="547"/>
      <c r="D55" s="547"/>
      <c r="E55" s="547"/>
      <c r="F55" s="548"/>
      <c r="G55" s="548"/>
      <c r="H55" s="548"/>
      <c r="I55" s="548"/>
      <c r="J55" s="548"/>
      <c r="K55" s="549"/>
      <c r="L55" s="549"/>
      <c r="M55" s="548"/>
      <c r="N55" s="249"/>
      <c r="O55" s="550"/>
      <c r="P55" s="5"/>
      <c r="Q55" s="288">
        <v>8.0000000000012506E-2</v>
      </c>
      <c r="R55" s="289">
        <v>11.8</v>
      </c>
      <c r="S55" s="289">
        <v>40.700000000000003</v>
      </c>
      <c r="T55" s="597">
        <v>32.6</v>
      </c>
      <c r="U55" s="5"/>
      <c r="V55" s="516">
        <f t="shared" si="44"/>
        <v>85.18</v>
      </c>
      <c r="W55" s="5"/>
      <c r="X55" s="288">
        <v>7.899999999999995</v>
      </c>
      <c r="Y55" s="289">
        <v>4.3</v>
      </c>
      <c r="Z55" s="289">
        <v>56.199999999999996</v>
      </c>
      <c r="AA55" s="270">
        <f t="shared" si="43"/>
        <v>82.200000000000031</v>
      </c>
      <c r="AB55" s="5"/>
      <c r="AC55" s="516">
        <v>150.60000000000002</v>
      </c>
      <c r="AD55" s="5"/>
      <c r="AE55" s="288">
        <v>69.092718960337706</v>
      </c>
      <c r="AF55" s="289">
        <v>83</v>
      </c>
      <c r="AG55" s="289">
        <v>100.10000000000004</v>
      </c>
      <c r="AH55" s="270">
        <v>122.2072810396624</v>
      </c>
      <c r="AI55" s="5"/>
      <c r="AJ55" s="516">
        <v>374.40000000000015</v>
      </c>
      <c r="AL55" s="288">
        <v>70.09999999999998</v>
      </c>
      <c r="AM55" s="289"/>
      <c r="AN55" s="289"/>
      <c r="AO55" s="270"/>
      <c r="AP55" s="5"/>
      <c r="AQ55" s="516"/>
    </row>
    <row r="56" spans="1:54">
      <c r="A56" s="235" t="s">
        <v>267</v>
      </c>
      <c r="B56" s="235" t="s">
        <v>267</v>
      </c>
      <c r="C56" s="547"/>
      <c r="D56" s="547"/>
      <c r="E56" s="547"/>
      <c r="F56" s="548"/>
      <c r="G56" s="548"/>
      <c r="H56" s="548"/>
      <c r="I56" s="548"/>
      <c r="J56" s="548"/>
      <c r="K56" s="549"/>
      <c r="L56" s="549"/>
      <c r="M56" s="548"/>
      <c r="N56" s="249"/>
      <c r="O56" s="550"/>
      <c r="P56" s="5"/>
      <c r="Q56" s="286">
        <v>0.3</v>
      </c>
      <c r="R56" s="287">
        <v>3.6</v>
      </c>
      <c r="S56" s="571">
        <v>3.7</v>
      </c>
      <c r="T56" s="597">
        <v>-1.2</v>
      </c>
      <c r="U56" s="5"/>
      <c r="V56" s="516">
        <f t="shared" si="44"/>
        <v>6.3999999999999995</v>
      </c>
      <c r="W56" s="5"/>
      <c r="X56" s="286">
        <v>1.3999999999999975</v>
      </c>
      <c r="Y56" s="289">
        <v>0.7</v>
      </c>
      <c r="Z56" s="504">
        <v>2.0000000000000058</v>
      </c>
      <c r="AA56" s="271">
        <f t="shared" si="43"/>
        <v>2.599999999999997</v>
      </c>
      <c r="AB56" s="5"/>
      <c r="AC56" s="516">
        <v>6.7</v>
      </c>
      <c r="AD56" s="5"/>
      <c r="AE56" s="286">
        <v>-4.5469957660288197E-2</v>
      </c>
      <c r="AF56" s="289">
        <v>0.60000000000000397</v>
      </c>
      <c r="AG56" s="504">
        <v>1.3000000000000029</v>
      </c>
      <c r="AH56" s="271">
        <v>-3.254530042339713</v>
      </c>
      <c r="AI56" s="5"/>
      <c r="AJ56" s="516">
        <v>-1.3999999999999944</v>
      </c>
      <c r="AL56" s="286">
        <v>-2.8000000000000003</v>
      </c>
      <c r="AM56" s="289"/>
      <c r="AN56" s="504"/>
      <c r="AO56" s="271"/>
      <c r="AP56" s="5"/>
      <c r="AQ56" s="516"/>
    </row>
    <row r="57" spans="1:54" ht="15" thickBot="1">
      <c r="A57" s="235" t="s">
        <v>295</v>
      </c>
      <c r="B57" s="235" t="s">
        <v>296</v>
      </c>
      <c r="C57" s="547"/>
      <c r="D57" s="547"/>
      <c r="E57" s="547"/>
      <c r="F57" s="548"/>
      <c r="G57" s="548"/>
      <c r="H57" s="548"/>
      <c r="I57" s="548"/>
      <c r="J57" s="548"/>
      <c r="K57" s="549"/>
      <c r="L57" s="549"/>
      <c r="M57" s="548"/>
      <c r="N57" s="249"/>
      <c r="O57" s="550"/>
      <c r="P57" s="5"/>
      <c r="Q57" s="561"/>
      <c r="R57" s="551"/>
      <c r="S57" s="551"/>
      <c r="T57" s="598"/>
      <c r="U57" s="5"/>
      <c r="V57" s="552">
        <f t="shared" si="44"/>
        <v>0</v>
      </c>
      <c r="W57" s="5"/>
      <c r="X57" s="561">
        <v>0</v>
      </c>
      <c r="Y57" s="566">
        <v>0</v>
      </c>
      <c r="Z57" s="551">
        <v>0</v>
      </c>
      <c r="AA57" s="302">
        <f t="shared" si="43"/>
        <v>0</v>
      </c>
      <c r="AB57" s="5"/>
      <c r="AC57" s="552">
        <v>0</v>
      </c>
      <c r="AD57" s="5"/>
      <c r="AE57" s="561"/>
      <c r="AF57" s="566"/>
      <c r="AG57" s="551"/>
      <c r="AH57" s="302"/>
      <c r="AI57" s="5"/>
      <c r="AJ57" s="552"/>
      <c r="AL57" s="561"/>
      <c r="AM57" s="566"/>
      <c r="AN57" s="551"/>
      <c r="AO57" s="302"/>
      <c r="AP57" s="5"/>
      <c r="AQ57" s="552"/>
    </row>
    <row r="58" spans="1:54">
      <c r="A58" s="556"/>
      <c r="B58" s="237"/>
      <c r="C58" s="547"/>
      <c r="D58" s="547"/>
      <c r="E58" s="547"/>
      <c r="F58" s="548"/>
      <c r="G58" s="548"/>
      <c r="H58" s="548"/>
      <c r="I58" s="548"/>
      <c r="J58" s="548"/>
      <c r="K58" s="549"/>
      <c r="L58" s="549"/>
      <c r="M58" s="548"/>
      <c r="N58" s="249"/>
      <c r="O58" s="550"/>
      <c r="P58" s="5"/>
      <c r="Q58" s="553"/>
      <c r="R58" s="553"/>
      <c r="S58" s="553"/>
      <c r="T58" s="554"/>
      <c r="U58" s="5"/>
      <c r="V58" s="254"/>
      <c r="W58" s="5"/>
      <c r="X58" s="553"/>
      <c r="Y58" s="553"/>
      <c r="Z58" s="553"/>
      <c r="AA58" s="547"/>
      <c r="AB58" s="5"/>
      <c r="AC58" s="254"/>
      <c r="AD58" s="5"/>
      <c r="AE58" s="553"/>
      <c r="AF58" s="5"/>
      <c r="AG58" s="553"/>
      <c r="AH58" s="547"/>
      <c r="AI58" s="5"/>
      <c r="AJ58" s="254"/>
      <c r="AL58" s="553"/>
      <c r="AM58" s="5"/>
      <c r="AN58" s="553"/>
      <c r="AO58" s="547"/>
      <c r="AP58" s="5"/>
      <c r="AQ58" s="254"/>
    </row>
    <row r="59" spans="1:54" ht="15" thickBot="1">
      <c r="A59" s="235"/>
      <c r="B59" s="237"/>
      <c r="C59" s="547"/>
      <c r="D59" s="547"/>
      <c r="E59" s="547"/>
      <c r="F59" s="548"/>
      <c r="G59" s="548"/>
      <c r="H59" s="548"/>
      <c r="I59" s="548"/>
      <c r="J59" s="548"/>
      <c r="K59" s="549"/>
      <c r="L59" s="549"/>
      <c r="M59" s="548"/>
      <c r="N59" s="249"/>
      <c r="O59" s="550"/>
      <c r="P59" s="5"/>
      <c r="Q59" s="553"/>
      <c r="R59" s="553"/>
      <c r="S59" s="553"/>
      <c r="T59" s="554"/>
      <c r="U59" s="5"/>
      <c r="V59" s="254"/>
      <c r="W59" s="5"/>
      <c r="X59" s="553"/>
      <c r="Y59" s="553"/>
      <c r="Z59" s="553"/>
      <c r="AA59" s="547"/>
      <c r="AB59" s="5"/>
      <c r="AC59" s="254"/>
      <c r="AD59" s="5"/>
      <c r="AE59" s="553"/>
      <c r="AF59" s="5"/>
      <c r="AG59" s="553"/>
      <c r="AH59" s="547"/>
      <c r="AI59" s="5"/>
      <c r="AJ59" s="254"/>
      <c r="AL59" s="553"/>
      <c r="AM59" s="5"/>
      <c r="AN59" s="553"/>
      <c r="AO59" s="547"/>
      <c r="AP59" s="5"/>
      <c r="AQ59" s="254"/>
    </row>
    <row r="60" spans="1:54" s="244" customFormat="1" ht="23.25" customHeight="1" thickTop="1">
      <c r="A60" s="555" t="s">
        <v>268</v>
      </c>
      <c r="B60" s="248" t="s">
        <v>270</v>
      </c>
      <c r="C60" s="266">
        <v>-123.5</v>
      </c>
      <c r="D60" s="267">
        <v>-137</v>
      </c>
      <c r="E60" s="267">
        <v>-130.6</v>
      </c>
      <c r="F60" s="268">
        <f>H60-E60-D60-C60</f>
        <v>-136.59999999999991</v>
      </c>
      <c r="G60" s="269"/>
      <c r="H60" s="293">
        <v>-527.69999999999993</v>
      </c>
      <c r="I60" s="269"/>
      <c r="J60" s="375">
        <f>SUM(J61:J66)</f>
        <v>-138.59487235098464</v>
      </c>
      <c r="K60" s="376">
        <f>SUM(K61:K66)</f>
        <v>-115.58007963786339</v>
      </c>
      <c r="L60" s="376">
        <f>SUM(L61:L66)</f>
        <v>-130.90000000000003</v>
      </c>
      <c r="M60" s="524">
        <f>O60-L60-K60-J60</f>
        <v>-176.2250480111519</v>
      </c>
      <c r="N60" s="269"/>
      <c r="O60" s="514">
        <v>-561.29999999999995</v>
      </c>
      <c r="P60" s="299"/>
      <c r="Q60" s="375">
        <f>SUM(Q61:Q66)</f>
        <v>-145.80000000000001</v>
      </c>
      <c r="R60" s="376">
        <v>-131.9</v>
      </c>
      <c r="S60" s="376">
        <v>-136.40000000000003</v>
      </c>
      <c r="T60" s="524">
        <f t="shared" ref="T60:T66" si="45">V60-SUM(Q60:S60)</f>
        <v>-168.09999999999997</v>
      </c>
      <c r="U60" s="243"/>
      <c r="V60" s="514">
        <v>-582.20000000000005</v>
      </c>
      <c r="W60" s="243"/>
      <c r="X60" s="375">
        <v>-155.6</v>
      </c>
      <c r="Y60" s="376">
        <v>-144.4</v>
      </c>
      <c r="Z60" s="376">
        <v>-153.30000000000001</v>
      </c>
      <c r="AA60" s="267">
        <f>AC60-SUM(X60:Z60)</f>
        <v>-141.19999999999999</v>
      </c>
      <c r="AB60" s="243"/>
      <c r="AC60" s="514">
        <v>-594.5</v>
      </c>
      <c r="AD60" s="243"/>
      <c r="AE60" s="375">
        <v>-149.9</v>
      </c>
      <c r="AF60" s="376">
        <v>-144.4</v>
      </c>
      <c r="AG60" s="376">
        <v>-151</v>
      </c>
      <c r="AH60" s="267">
        <v>-153.79999999999893</v>
      </c>
      <c r="AI60" s="243"/>
      <c r="AJ60" s="514">
        <v>-599.1</v>
      </c>
      <c r="AK60" s="243"/>
      <c r="AL60" s="381">
        <f>SUM(AL61:AL65)</f>
        <v>-161.49999999999997</v>
      </c>
      <c r="AM60" s="376"/>
      <c r="AN60" s="376"/>
      <c r="AO60" s="267"/>
      <c r="AP60" s="243"/>
      <c r="AQ60" s="514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</row>
    <row r="61" spans="1:54">
      <c r="A61" s="235" t="s">
        <v>289</v>
      </c>
      <c r="B61" s="235" t="s">
        <v>289</v>
      </c>
      <c r="C61" s="272">
        <v>-124.6</v>
      </c>
      <c r="D61" s="271">
        <v>-120.6</v>
      </c>
      <c r="E61" s="271">
        <v>-114.50000000000001</v>
      </c>
      <c r="F61" s="274">
        <f>H61-E61-D61-C61</f>
        <v>-117.10000000000002</v>
      </c>
      <c r="G61" s="275"/>
      <c r="H61" s="253">
        <v>-476.8</v>
      </c>
      <c r="I61" s="275"/>
      <c r="J61" s="371">
        <v>-126.29487235098466</v>
      </c>
      <c r="K61" s="372">
        <v>-91.180079637863386</v>
      </c>
      <c r="L61" s="372">
        <v>-111.70000000000002</v>
      </c>
      <c r="M61" s="525">
        <f>O61-L61-K61-J61</f>
        <v>-134.62504801115185</v>
      </c>
      <c r="N61" s="275"/>
      <c r="O61" s="516">
        <v>-463.79999999999995</v>
      </c>
      <c r="P61" s="5"/>
      <c r="Q61" s="371">
        <v>-110.9</v>
      </c>
      <c r="R61" s="372">
        <v>-93.3</v>
      </c>
      <c r="S61" s="505">
        <v>-93.400000000000034</v>
      </c>
      <c r="T61" s="525">
        <f t="shared" si="45"/>
        <v>-123.80000000000001</v>
      </c>
      <c r="U61" s="5"/>
      <c r="V61" s="526">
        <v>-421.40000000000003</v>
      </c>
      <c r="W61" s="5"/>
      <c r="X61" s="371">
        <v>-107.58295115</v>
      </c>
      <c r="Y61" s="372">
        <v>-98.9</v>
      </c>
      <c r="Z61" s="505">
        <v>-94.5</v>
      </c>
      <c r="AA61" s="271">
        <f t="shared" ref="AA61:AA66" si="46">AC61-SUM(X61:Z61)</f>
        <v>-75.417048849999958</v>
      </c>
      <c r="AB61" s="5"/>
      <c r="AC61" s="526">
        <v>-376.4</v>
      </c>
      <c r="AD61" s="5"/>
      <c r="AE61" s="371">
        <v>-87.528039963986004</v>
      </c>
      <c r="AF61" s="372">
        <v>-84.7</v>
      </c>
      <c r="AG61" s="505">
        <v>-92.900000000000034</v>
      </c>
      <c r="AH61" s="271">
        <v>-90.571960036013934</v>
      </c>
      <c r="AI61" s="5"/>
      <c r="AJ61" s="526">
        <v>-355.7</v>
      </c>
      <c r="AL61" s="371">
        <v>-94.8</v>
      </c>
      <c r="AM61" s="372"/>
      <c r="AN61" s="505"/>
      <c r="AO61" s="271"/>
      <c r="AP61" s="5"/>
      <c r="AQ61" s="526"/>
    </row>
    <row r="62" spans="1:54">
      <c r="A62" s="235" t="s">
        <v>290</v>
      </c>
      <c r="B62" s="235" t="s">
        <v>290</v>
      </c>
      <c r="C62" s="276">
        <v>-11.7</v>
      </c>
      <c r="D62" s="270">
        <v>-14.7</v>
      </c>
      <c r="E62" s="270">
        <v>-14.3</v>
      </c>
      <c r="F62" s="274">
        <f t="shared" ref="F62:F65" si="47">H62-E62-D62-C62</f>
        <v>-2.0999999999999979</v>
      </c>
      <c r="G62" s="275"/>
      <c r="H62" s="253">
        <v>-42.8</v>
      </c>
      <c r="I62" s="275"/>
      <c r="J62" s="373">
        <v>-11.700000000000001</v>
      </c>
      <c r="K62" s="374">
        <v>-13.5</v>
      </c>
      <c r="L62" s="374">
        <v>-12.800000000000002</v>
      </c>
      <c r="M62" s="525">
        <f t="shared" ref="M62:M66" si="48">O62-L62-K62-J62</f>
        <v>-16.499999999999993</v>
      </c>
      <c r="N62" s="275"/>
      <c r="O62" s="516">
        <v>-54.5</v>
      </c>
      <c r="P62" s="5"/>
      <c r="Q62" s="373">
        <v>-15.4</v>
      </c>
      <c r="R62" s="374">
        <v>-15.1</v>
      </c>
      <c r="S62" s="374">
        <v>-15.899999999999999</v>
      </c>
      <c r="T62" s="525">
        <f t="shared" si="45"/>
        <v>-17.600000000000001</v>
      </c>
      <c r="U62" s="5"/>
      <c r="V62" s="516">
        <v>-64</v>
      </c>
      <c r="W62" s="5"/>
      <c r="X62" s="373">
        <v>-17.100000000000001</v>
      </c>
      <c r="Y62" s="374">
        <v>-19.7</v>
      </c>
      <c r="Z62" s="374">
        <v>-22.900000000000006</v>
      </c>
      <c r="AA62" s="270">
        <f t="shared" si="46"/>
        <v>-21.5</v>
      </c>
      <c r="AB62" s="5"/>
      <c r="AC62" s="516">
        <v>-81.2</v>
      </c>
      <c r="AD62" s="5"/>
      <c r="AE62" s="373">
        <v>-21.393072528933299</v>
      </c>
      <c r="AF62" s="374">
        <v>-22.7</v>
      </c>
      <c r="AG62" s="374">
        <v>-16.199999999999989</v>
      </c>
      <c r="AH62" s="270">
        <v>-17.706927471066749</v>
      </c>
      <c r="AI62" s="5"/>
      <c r="AJ62" s="516">
        <v>-78</v>
      </c>
      <c r="AL62" s="373">
        <v>-22.7</v>
      </c>
      <c r="AM62" s="374"/>
      <c r="AN62" s="374"/>
      <c r="AO62" s="270"/>
      <c r="AP62" s="5"/>
      <c r="AQ62" s="516"/>
    </row>
    <row r="63" spans="1:54">
      <c r="A63" s="235" t="s">
        <v>291</v>
      </c>
      <c r="B63" s="235" t="s">
        <v>291</v>
      </c>
      <c r="C63" s="276">
        <v>-0.5</v>
      </c>
      <c r="D63" s="270">
        <v>-0.9</v>
      </c>
      <c r="E63" s="270">
        <v>-0.8</v>
      </c>
      <c r="F63" s="274">
        <f t="shared" si="47"/>
        <v>-0.19999999999999984</v>
      </c>
      <c r="G63" s="275"/>
      <c r="H63" s="253">
        <v>-2.4</v>
      </c>
      <c r="I63" s="275"/>
      <c r="J63" s="373">
        <v>-0.5</v>
      </c>
      <c r="K63" s="374">
        <v>-1.4000000000000001</v>
      </c>
      <c r="L63" s="374">
        <v>-1.2000000000000002</v>
      </c>
      <c r="M63" s="525">
        <f t="shared" si="48"/>
        <v>-1.8999999999999995</v>
      </c>
      <c r="N63" s="275"/>
      <c r="O63" s="516">
        <v>-5</v>
      </c>
      <c r="P63" s="5"/>
      <c r="Q63" s="373">
        <v>-1.6</v>
      </c>
      <c r="R63" s="374">
        <v>-1.1000000000000001</v>
      </c>
      <c r="S63" s="374">
        <v>-2.1</v>
      </c>
      <c r="T63" s="525">
        <f t="shared" si="45"/>
        <v>-2.9999999999999991</v>
      </c>
      <c r="U63" s="5"/>
      <c r="V63" s="516">
        <v>-7.8</v>
      </c>
      <c r="W63" s="5"/>
      <c r="X63" s="373">
        <v>-4.9000000000000004</v>
      </c>
      <c r="Y63" s="374">
        <v>-3.5</v>
      </c>
      <c r="Z63" s="374">
        <v>-4.6999999999999993</v>
      </c>
      <c r="AA63" s="270">
        <f t="shared" si="46"/>
        <v>-5.0999999999999996</v>
      </c>
      <c r="AB63" s="5"/>
      <c r="AC63" s="516">
        <v>-18.2</v>
      </c>
      <c r="AD63" s="5"/>
      <c r="AE63" s="373">
        <v>-5.1439096806376403</v>
      </c>
      <c r="AF63" s="374">
        <v>-5.3</v>
      </c>
      <c r="AG63" s="374">
        <v>-5.6000000000000014</v>
      </c>
      <c r="AH63" s="270">
        <v>-5.9560903193623673</v>
      </c>
      <c r="AI63" s="5"/>
      <c r="AJ63" s="516">
        <v>-22</v>
      </c>
      <c r="AL63" s="373">
        <v>-4.0999999999999996</v>
      </c>
      <c r="AM63" s="374"/>
      <c r="AN63" s="374"/>
      <c r="AO63" s="270"/>
      <c r="AP63" s="5"/>
      <c r="AQ63" s="516"/>
    </row>
    <row r="64" spans="1:54">
      <c r="A64" s="235" t="s">
        <v>307</v>
      </c>
      <c r="B64" s="235" t="s">
        <v>307</v>
      </c>
      <c r="C64" s="276">
        <v>0</v>
      </c>
      <c r="D64" s="270">
        <v>0</v>
      </c>
      <c r="E64" s="270">
        <v>0</v>
      </c>
      <c r="F64" s="274">
        <f t="shared" si="47"/>
        <v>0</v>
      </c>
      <c r="G64" s="275"/>
      <c r="H64" s="253">
        <v>0</v>
      </c>
      <c r="I64" s="275"/>
      <c r="J64" s="373">
        <v>0</v>
      </c>
      <c r="K64" s="374">
        <v>-9.1999999999999993</v>
      </c>
      <c r="L64" s="374">
        <v>-3.6</v>
      </c>
      <c r="M64" s="525">
        <f t="shared" si="48"/>
        <v>-22.900000000000002</v>
      </c>
      <c r="N64" s="275"/>
      <c r="O64" s="516">
        <v>-35.700000000000003</v>
      </c>
      <c r="P64" s="5"/>
      <c r="Q64" s="373">
        <v>-17.600000000000001</v>
      </c>
      <c r="R64" s="374">
        <v>-21.5</v>
      </c>
      <c r="S64" s="374">
        <v>-22.3</v>
      </c>
      <c r="T64" s="525">
        <f t="shared" si="45"/>
        <v>-22.799999999999997</v>
      </c>
      <c r="U64" s="5"/>
      <c r="V64" s="516">
        <v>-84.2</v>
      </c>
      <c r="W64" s="5"/>
      <c r="X64" s="373">
        <v>-25.3</v>
      </c>
      <c r="Y64" s="374">
        <v>-22.1</v>
      </c>
      <c r="Z64" s="374">
        <v>-31.1</v>
      </c>
      <c r="AA64" s="270">
        <f t="shared" si="46"/>
        <v>-39.5</v>
      </c>
      <c r="AB64" s="5"/>
      <c r="AC64" s="516">
        <v>-118</v>
      </c>
      <c r="AD64" s="5"/>
      <c r="AE64" s="373">
        <v>-35.747249665197003</v>
      </c>
      <c r="AF64" s="374">
        <v>-31.5</v>
      </c>
      <c r="AG64" s="374">
        <v>-36.200000000000003</v>
      </c>
      <c r="AH64" s="270">
        <v>-39.352750334802863</v>
      </c>
      <c r="AI64" s="5"/>
      <c r="AJ64" s="516">
        <v>-142.69999999999999</v>
      </c>
      <c r="AL64" s="373">
        <v>-39.799999999999997</v>
      </c>
      <c r="AM64" s="374"/>
      <c r="AN64" s="374"/>
      <c r="AO64" s="270"/>
      <c r="AP64" s="5"/>
      <c r="AQ64" s="516"/>
    </row>
    <row r="65" spans="1:43">
      <c r="A65" s="235" t="s">
        <v>267</v>
      </c>
      <c r="B65" s="235" t="s">
        <v>267</v>
      </c>
      <c r="C65" s="272">
        <v>-0.1</v>
      </c>
      <c r="D65" s="271">
        <v>-0.2</v>
      </c>
      <c r="E65" s="271">
        <v>-0.5</v>
      </c>
      <c r="F65" s="274">
        <f t="shared" si="47"/>
        <v>-9.9999999999999895E-2</v>
      </c>
      <c r="G65" s="275"/>
      <c r="H65" s="253">
        <v>-0.89999999999999991</v>
      </c>
      <c r="I65" s="275"/>
      <c r="J65" s="371">
        <v>0.3</v>
      </c>
      <c r="K65" s="372">
        <v>-0.30000000000000004</v>
      </c>
      <c r="L65" s="372">
        <v>-0.29999999999999993</v>
      </c>
      <c r="M65" s="525">
        <f t="shared" si="48"/>
        <v>-0.89999999999999991</v>
      </c>
      <c r="N65" s="275"/>
      <c r="O65" s="516">
        <v>-1.2</v>
      </c>
      <c r="P65" s="5"/>
      <c r="Q65" s="371">
        <v>-0.30000000000000004</v>
      </c>
      <c r="R65" s="372">
        <v>-0.2</v>
      </c>
      <c r="S65" s="505">
        <v>-0.39999999999999991</v>
      </c>
      <c r="T65" s="525">
        <f t="shared" si="45"/>
        <v>-0.20000000000000018</v>
      </c>
      <c r="U65" s="5"/>
      <c r="V65" s="516">
        <v>-1.1000000000000001</v>
      </c>
      <c r="W65" s="5"/>
      <c r="X65" s="371">
        <v>-0.2</v>
      </c>
      <c r="Y65" s="372">
        <v>-0.2</v>
      </c>
      <c r="Z65" s="505">
        <v>-9.9999999999999978E-2</v>
      </c>
      <c r="AA65" s="271">
        <f t="shared" si="46"/>
        <v>-0.19999999999999996</v>
      </c>
      <c r="AB65" s="5"/>
      <c r="AC65" s="516">
        <v>-0.7</v>
      </c>
      <c r="AD65" s="5"/>
      <c r="AE65" s="371">
        <v>-0.18507256016743001</v>
      </c>
      <c r="AF65" s="372">
        <v>-0.2</v>
      </c>
      <c r="AG65" s="505">
        <v>-0.10000000000000009</v>
      </c>
      <c r="AH65" s="271">
        <v>-0.21492743983257023</v>
      </c>
      <c r="AI65" s="5"/>
      <c r="AJ65" s="516">
        <v>-0.7</v>
      </c>
      <c r="AL65" s="371">
        <v>-0.1</v>
      </c>
      <c r="AM65" s="372"/>
      <c r="AN65" s="505"/>
      <c r="AO65" s="271"/>
      <c r="AP65" s="5"/>
      <c r="AQ65" s="516"/>
    </row>
    <row r="66" spans="1:43" ht="15" thickBot="1">
      <c r="A66" s="235" t="s">
        <v>295</v>
      </c>
      <c r="B66" s="235" t="s">
        <v>296</v>
      </c>
      <c r="C66" s="278">
        <v>-1.9</v>
      </c>
      <c r="D66" s="302">
        <v>-0.6</v>
      </c>
      <c r="E66" s="302">
        <v>-0.5</v>
      </c>
      <c r="F66" s="301">
        <f>H66-E66-C66</f>
        <v>-2.4</v>
      </c>
      <c r="G66" s="275"/>
      <c r="H66" s="300">
        <v>-4.8</v>
      </c>
      <c r="I66" s="275"/>
      <c r="J66" s="377">
        <v>-0.4</v>
      </c>
      <c r="K66" s="378">
        <v>0</v>
      </c>
      <c r="L66" s="378">
        <v>-1.3</v>
      </c>
      <c r="M66" s="527">
        <f t="shared" si="48"/>
        <v>0.6</v>
      </c>
      <c r="N66" s="275"/>
      <c r="O66" s="528">
        <v>-1.1000000000000001</v>
      </c>
      <c r="P66" s="5"/>
      <c r="Q66" s="377">
        <v>0</v>
      </c>
      <c r="R66" s="378">
        <v>-0.7</v>
      </c>
      <c r="S66" s="378">
        <v>-2.2999999999999998</v>
      </c>
      <c r="T66" s="527">
        <f t="shared" si="45"/>
        <v>0</v>
      </c>
      <c r="U66" s="5"/>
      <c r="V66" s="528">
        <f>SUM(Q66:S66)</f>
        <v>-3</v>
      </c>
      <c r="W66" s="5"/>
      <c r="X66" s="377">
        <v>-0.51704885</v>
      </c>
      <c r="Y66" s="378">
        <v>0</v>
      </c>
      <c r="Z66" s="378">
        <v>0</v>
      </c>
      <c r="AA66" s="302">
        <f t="shared" si="46"/>
        <v>0.51704885</v>
      </c>
      <c r="AB66" s="5"/>
      <c r="AC66" s="528">
        <v>0</v>
      </c>
      <c r="AD66" s="5"/>
      <c r="AE66" s="377"/>
      <c r="AF66" s="378"/>
      <c r="AG66" s="378"/>
      <c r="AH66" s="302"/>
      <c r="AI66" s="5"/>
      <c r="AJ66" s="528"/>
      <c r="AL66" s="377"/>
      <c r="AM66" s="378"/>
      <c r="AN66" s="378"/>
      <c r="AO66" s="302"/>
      <c r="AP66" s="5"/>
      <c r="AQ66" s="528"/>
    </row>
    <row r="67" spans="1:43">
      <c r="A67" s="5"/>
      <c r="B67" s="5"/>
      <c r="C67" s="5"/>
      <c r="D67" s="243"/>
      <c r="E67" s="24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3"/>
      <c r="AB67" s="5"/>
      <c r="AC67" s="5"/>
      <c r="AD67" s="5"/>
      <c r="AE67" s="5"/>
      <c r="AF67" s="5"/>
      <c r="AG67" s="5"/>
      <c r="AH67" s="243"/>
      <c r="AI67" s="5"/>
      <c r="AJ67" s="5"/>
      <c r="AL67" s="5"/>
      <c r="AM67" s="5"/>
      <c r="AN67" s="5"/>
      <c r="AO67" s="243"/>
      <c r="AP67" s="5"/>
      <c r="AQ67" s="5"/>
    </row>
    <row r="68" spans="1:43" ht="15" thickBot="1">
      <c r="A68" s="5"/>
      <c r="B68" s="5"/>
      <c r="C68" s="5"/>
      <c r="D68" s="243"/>
      <c r="E68" s="243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3"/>
      <c r="AB68" s="5"/>
      <c r="AC68" s="5"/>
      <c r="AD68" s="5"/>
      <c r="AE68" s="5"/>
      <c r="AF68" s="5"/>
      <c r="AG68" s="5"/>
      <c r="AH68" s="243"/>
      <c r="AI68" s="5"/>
      <c r="AJ68" s="5"/>
      <c r="AL68" s="5"/>
      <c r="AM68" s="5"/>
      <c r="AN68" s="5"/>
      <c r="AO68" s="243"/>
      <c r="AP68" s="5"/>
      <c r="AQ68" s="5"/>
    </row>
    <row r="69" spans="1:43" ht="15" thickTop="1">
      <c r="A69" s="247" t="s">
        <v>309</v>
      </c>
      <c r="B69" s="248" t="s">
        <v>308</v>
      </c>
      <c r="C69" s="266"/>
      <c r="D69" s="267"/>
      <c r="E69" s="267"/>
      <c r="F69" s="268"/>
      <c r="G69" s="269"/>
      <c r="H69" s="293"/>
      <c r="I69" s="269"/>
      <c r="J69" s="375">
        <f>SUM(J70:J75)</f>
        <v>2382.9415239449218</v>
      </c>
      <c r="K69" s="376">
        <f>SUM(K70:K75)</f>
        <v>2417.1455591295799</v>
      </c>
      <c r="L69" s="376">
        <f>SUM(L70:L75)</f>
        <v>2488.6999999999998</v>
      </c>
      <c r="M69" s="524">
        <f t="shared" ref="M69:M74" si="49">O69</f>
        <v>2582.5</v>
      </c>
      <c r="N69" s="269"/>
      <c r="O69" s="514">
        <v>2582.5</v>
      </c>
      <c r="P69" s="299"/>
      <c r="Q69" s="375">
        <f>SUM(Q70:Q75)</f>
        <v>2791</v>
      </c>
      <c r="R69" s="376">
        <v>2950.6959623098601</v>
      </c>
      <c r="S69" s="376">
        <v>3121.4</v>
      </c>
      <c r="T69" s="524">
        <f>V69</f>
        <v>2691.1</v>
      </c>
      <c r="U69" s="5"/>
      <c r="V69" s="514">
        <v>2691.1</v>
      </c>
      <c r="W69" s="5"/>
      <c r="X69" s="375">
        <v>2914.3</v>
      </c>
      <c r="Y69" s="376">
        <v>2742.2</v>
      </c>
      <c r="Z69" s="376">
        <v>3078.4</v>
      </c>
      <c r="AA69" s="267">
        <f>AC69</f>
        <v>2911.6</v>
      </c>
      <c r="AB69" s="5"/>
      <c r="AC69" s="514">
        <v>2911.6</v>
      </c>
      <c r="AD69" s="5"/>
      <c r="AE69" s="375">
        <v>3272</v>
      </c>
      <c r="AF69" s="376">
        <v>3577</v>
      </c>
      <c r="AG69" s="376">
        <v>3801.2</v>
      </c>
      <c r="AH69" s="267">
        <v>3579</v>
      </c>
      <c r="AI69" s="5"/>
      <c r="AJ69" s="514">
        <v>3579</v>
      </c>
      <c r="AL69" s="381">
        <f>SUM(AL70:AL74)</f>
        <v>3862.4</v>
      </c>
      <c r="AM69" s="376"/>
      <c r="AN69" s="376"/>
      <c r="AO69" s="267"/>
      <c r="AP69" s="5"/>
      <c r="AQ69" s="514"/>
    </row>
    <row r="70" spans="1:43">
      <c r="A70" s="235" t="s">
        <v>289</v>
      </c>
      <c r="B70" s="235" t="s">
        <v>289</v>
      </c>
      <c r="C70" s="476"/>
      <c r="D70" s="271"/>
      <c r="E70" s="271"/>
      <c r="F70" s="274"/>
      <c r="G70" s="275"/>
      <c r="H70" s="253"/>
      <c r="I70" s="275"/>
      <c r="J70" s="486">
        <v>763.84152394492196</v>
      </c>
      <c r="K70" s="489">
        <v>1481.5437496549027</v>
      </c>
      <c r="L70" s="372">
        <v>1282.3</v>
      </c>
      <c r="M70" s="525">
        <f t="shared" si="49"/>
        <v>1450.6</v>
      </c>
      <c r="N70" s="275"/>
      <c r="O70" s="516">
        <v>1450.6</v>
      </c>
      <c r="P70" s="5"/>
      <c r="Q70" s="371">
        <v>746.90000000000009</v>
      </c>
      <c r="R70" s="372">
        <v>1454.1</v>
      </c>
      <c r="S70" s="505">
        <v>1264</v>
      </c>
      <c r="T70" s="525">
        <f t="shared" ref="T70:T75" si="50">V70</f>
        <v>1044.8</v>
      </c>
      <c r="U70" s="5"/>
      <c r="V70" s="516">
        <v>1044.8</v>
      </c>
      <c r="W70" s="5"/>
      <c r="X70" s="371">
        <v>1050.0999999999999</v>
      </c>
      <c r="Y70" s="372">
        <v>1102.9000000000001</v>
      </c>
      <c r="Z70" s="505">
        <v>1072.1999999999998</v>
      </c>
      <c r="AA70" s="271">
        <f>AC70</f>
        <v>1181.8000000000002</v>
      </c>
      <c r="AB70" s="5"/>
      <c r="AC70" s="516">
        <v>1181.8000000000002</v>
      </c>
      <c r="AD70" s="5"/>
      <c r="AE70" s="371">
        <v>1307.5</v>
      </c>
      <c r="AF70" s="372">
        <v>1702.3</v>
      </c>
      <c r="AG70" s="505">
        <v>1762.1</v>
      </c>
      <c r="AH70" s="271">
        <v>1885.6</v>
      </c>
      <c r="AI70" s="5"/>
      <c r="AJ70" s="516">
        <v>1885.6</v>
      </c>
      <c r="AL70" s="371">
        <v>1855.3000000000002</v>
      </c>
      <c r="AM70" s="372"/>
      <c r="AN70" s="505"/>
      <c r="AO70" s="271"/>
      <c r="AP70" s="5"/>
      <c r="AQ70" s="516"/>
    </row>
    <row r="71" spans="1:43">
      <c r="A71" s="235" t="s">
        <v>290</v>
      </c>
      <c r="B71" s="235" t="s">
        <v>290</v>
      </c>
      <c r="C71" s="276"/>
      <c r="D71" s="270"/>
      <c r="E71" s="270"/>
      <c r="F71" s="274"/>
      <c r="G71" s="275"/>
      <c r="H71" s="253"/>
      <c r="I71" s="275"/>
      <c r="J71" s="487">
        <v>591</v>
      </c>
      <c r="K71" s="490">
        <v>687.69843735134486</v>
      </c>
      <c r="L71" s="374">
        <v>876.4</v>
      </c>
      <c r="M71" s="525">
        <f t="shared" si="49"/>
        <v>750</v>
      </c>
      <c r="N71" s="275"/>
      <c r="O71" s="516">
        <v>750</v>
      </c>
      <c r="P71" s="5"/>
      <c r="Q71" s="373">
        <v>921.7</v>
      </c>
      <c r="R71" s="374">
        <v>979.18963358986105</v>
      </c>
      <c r="S71" s="374">
        <v>1083</v>
      </c>
      <c r="T71" s="525">
        <f t="shared" si="50"/>
        <v>962.2</v>
      </c>
      <c r="U71" s="5"/>
      <c r="V71" s="516">
        <v>962.2</v>
      </c>
      <c r="W71" s="5"/>
      <c r="X71" s="373">
        <v>1083.3</v>
      </c>
      <c r="Y71" s="374">
        <v>890.9</v>
      </c>
      <c r="Z71" s="374">
        <v>1001.1999999999999</v>
      </c>
      <c r="AA71" s="270">
        <f>AC71</f>
        <v>810.69999999999993</v>
      </c>
      <c r="AB71" s="5"/>
      <c r="AC71" s="516">
        <v>810.69999999999993</v>
      </c>
      <c r="AD71" s="5"/>
      <c r="AE71" s="373">
        <v>945.5</v>
      </c>
      <c r="AF71" s="374">
        <v>821.7</v>
      </c>
      <c r="AG71" s="374">
        <v>901.8</v>
      </c>
      <c r="AH71" s="270">
        <v>732.4</v>
      </c>
      <c r="AI71" s="5"/>
      <c r="AJ71" s="516">
        <v>732.4</v>
      </c>
      <c r="AL71" s="373">
        <v>929</v>
      </c>
      <c r="AM71" s="374"/>
      <c r="AN71" s="374"/>
      <c r="AO71" s="270"/>
      <c r="AP71" s="5"/>
      <c r="AQ71" s="516"/>
    </row>
    <row r="72" spans="1:43">
      <c r="A72" s="235" t="s">
        <v>291</v>
      </c>
      <c r="B72" s="235" t="s">
        <v>291</v>
      </c>
      <c r="C72" s="276"/>
      <c r="D72" s="270"/>
      <c r="E72" s="270"/>
      <c r="F72" s="274"/>
      <c r="G72" s="275"/>
      <c r="H72" s="253"/>
      <c r="I72" s="275"/>
      <c r="J72" s="487">
        <v>95.7</v>
      </c>
      <c r="K72" s="490">
        <v>119.50337212333207</v>
      </c>
      <c r="L72" s="374">
        <v>178.1</v>
      </c>
      <c r="M72" s="525">
        <f t="shared" si="49"/>
        <v>211.9</v>
      </c>
      <c r="N72" s="275"/>
      <c r="O72" s="516">
        <v>211.9</v>
      </c>
      <c r="P72" s="5"/>
      <c r="Q72" s="373">
        <v>208</v>
      </c>
      <c r="R72" s="374">
        <v>273.30632871999899</v>
      </c>
      <c r="S72" s="374">
        <v>387.6</v>
      </c>
      <c r="T72" s="525">
        <f t="shared" si="50"/>
        <v>335.7</v>
      </c>
      <c r="U72" s="5"/>
      <c r="V72" s="516">
        <v>335.7</v>
      </c>
      <c r="W72" s="5"/>
      <c r="X72" s="373">
        <v>363.1</v>
      </c>
      <c r="Y72" s="374">
        <v>303.7</v>
      </c>
      <c r="Z72" s="374">
        <v>349.59999999999997</v>
      </c>
      <c r="AA72" s="270">
        <f t="shared" ref="AA72:AA75" si="51">AC72</f>
        <v>239.79999999999998</v>
      </c>
      <c r="AB72" s="5"/>
      <c r="AC72" s="516">
        <v>239.79999999999998</v>
      </c>
      <c r="AD72" s="5"/>
      <c r="AE72" s="373">
        <v>250.7</v>
      </c>
      <c r="AF72" s="374">
        <v>247.9</v>
      </c>
      <c r="AG72" s="374">
        <v>303</v>
      </c>
      <c r="AH72" s="270">
        <v>252.3</v>
      </c>
      <c r="AI72" s="5"/>
      <c r="AJ72" s="516">
        <v>252.3</v>
      </c>
      <c r="AL72" s="373">
        <v>316.7</v>
      </c>
      <c r="AM72" s="374"/>
      <c r="AN72" s="374"/>
      <c r="AO72" s="270"/>
      <c r="AP72" s="5"/>
      <c r="AQ72" s="516"/>
    </row>
    <row r="73" spans="1:43">
      <c r="A73" s="235" t="s">
        <v>307</v>
      </c>
      <c r="B73" s="235" t="s">
        <v>307</v>
      </c>
      <c r="C73" s="276"/>
      <c r="D73" s="270"/>
      <c r="E73" s="270"/>
      <c r="F73" s="274"/>
      <c r="G73" s="275"/>
      <c r="H73" s="253"/>
      <c r="I73" s="275"/>
      <c r="J73" s="487">
        <v>0</v>
      </c>
      <c r="K73" s="490">
        <v>103.8</v>
      </c>
      <c r="L73" s="374">
        <v>119.3</v>
      </c>
      <c r="M73" s="525">
        <f t="shared" si="49"/>
        <v>142.9</v>
      </c>
      <c r="N73" s="275"/>
      <c r="O73" s="516">
        <v>142.9</v>
      </c>
      <c r="P73" s="5"/>
      <c r="Q73" s="373">
        <v>79.599999999999994</v>
      </c>
      <c r="R73" s="374">
        <v>219.6</v>
      </c>
      <c r="S73" s="374">
        <v>356.50000000000006</v>
      </c>
      <c r="T73" s="525">
        <f t="shared" si="50"/>
        <v>328.3</v>
      </c>
      <c r="U73" s="5"/>
      <c r="V73" s="516">
        <v>328.3</v>
      </c>
      <c r="W73" s="5"/>
      <c r="X73" s="373">
        <v>398.29999999999995</v>
      </c>
      <c r="Y73" s="374">
        <v>425.3</v>
      </c>
      <c r="Z73" s="374">
        <v>635.29999999999995</v>
      </c>
      <c r="AA73" s="270">
        <f t="shared" si="51"/>
        <v>659</v>
      </c>
      <c r="AB73" s="5"/>
      <c r="AC73" s="516">
        <v>659</v>
      </c>
      <c r="AD73" s="5"/>
      <c r="AE73" s="373">
        <v>747.6</v>
      </c>
      <c r="AF73" s="374">
        <v>782.5</v>
      </c>
      <c r="AG73" s="374">
        <v>803.8</v>
      </c>
      <c r="AH73" s="270">
        <v>696</v>
      </c>
      <c r="AI73" s="5"/>
      <c r="AJ73" s="516">
        <v>696</v>
      </c>
      <c r="AL73" s="373">
        <v>761.4</v>
      </c>
      <c r="AM73" s="374"/>
      <c r="AN73" s="374"/>
      <c r="AO73" s="270"/>
      <c r="AP73" s="5"/>
      <c r="AQ73" s="516"/>
    </row>
    <row r="74" spans="1:43">
      <c r="A74" s="235" t="s">
        <v>267</v>
      </c>
      <c r="B74" s="235" t="s">
        <v>267</v>
      </c>
      <c r="C74" s="476"/>
      <c r="D74" s="271"/>
      <c r="E74" s="271"/>
      <c r="F74" s="274"/>
      <c r="G74" s="275"/>
      <c r="H74" s="253"/>
      <c r="I74" s="275"/>
      <c r="J74" s="486">
        <v>21.8</v>
      </c>
      <c r="K74" s="491">
        <v>24.599999999999998</v>
      </c>
      <c r="L74" s="372">
        <v>32.6</v>
      </c>
      <c r="M74" s="525">
        <f t="shared" si="49"/>
        <v>27.1</v>
      </c>
      <c r="N74" s="275"/>
      <c r="O74" s="516">
        <v>27.1</v>
      </c>
      <c r="P74" s="5"/>
      <c r="Q74" s="371">
        <v>29.900000000000002</v>
      </c>
      <c r="R74" s="372">
        <v>24.4</v>
      </c>
      <c r="S74" s="505">
        <v>30.3</v>
      </c>
      <c r="T74" s="525">
        <f t="shared" si="50"/>
        <v>20.100000000000001</v>
      </c>
      <c r="U74" s="5"/>
      <c r="V74" s="516">
        <v>20.100000000000001</v>
      </c>
      <c r="W74" s="5"/>
      <c r="X74" s="371">
        <v>19.5</v>
      </c>
      <c r="Y74" s="372">
        <v>19.399999999999999</v>
      </c>
      <c r="Z74" s="505">
        <v>20.100000000000001</v>
      </c>
      <c r="AA74" s="271">
        <f t="shared" si="51"/>
        <v>20.3</v>
      </c>
      <c r="AB74" s="5"/>
      <c r="AC74" s="516">
        <v>20.3</v>
      </c>
      <c r="AD74" s="5"/>
      <c r="AE74" s="371">
        <v>20.7</v>
      </c>
      <c r="AF74" s="372">
        <v>22.6</v>
      </c>
      <c r="AG74" s="505">
        <v>30.5</v>
      </c>
      <c r="AH74" s="271">
        <v>12.7</v>
      </c>
      <c r="AI74" s="5"/>
      <c r="AJ74" s="516">
        <v>12.7</v>
      </c>
      <c r="AL74" s="371">
        <v>0</v>
      </c>
      <c r="AM74" s="372"/>
      <c r="AN74" s="505"/>
      <c r="AO74" s="271"/>
      <c r="AP74" s="5"/>
      <c r="AQ74" s="516"/>
    </row>
    <row r="75" spans="1:43" ht="15" thickBot="1">
      <c r="A75" s="235" t="s">
        <v>295</v>
      </c>
      <c r="B75" s="235" t="s">
        <v>296</v>
      </c>
      <c r="C75" s="278"/>
      <c r="D75" s="302"/>
      <c r="E75" s="302"/>
      <c r="F75" s="301"/>
      <c r="G75" s="275"/>
      <c r="H75" s="300"/>
      <c r="I75" s="275"/>
      <c r="J75" s="488">
        <v>910.6</v>
      </c>
      <c r="K75" s="492">
        <v>0</v>
      </c>
      <c r="L75" s="378">
        <v>0</v>
      </c>
      <c r="M75" s="527"/>
      <c r="N75" s="275"/>
      <c r="O75" s="528">
        <v>0</v>
      </c>
      <c r="P75" s="5"/>
      <c r="Q75" s="377">
        <v>804.9</v>
      </c>
      <c r="R75" s="378">
        <v>0.1</v>
      </c>
      <c r="S75" s="378">
        <v>0</v>
      </c>
      <c r="T75" s="527">
        <f t="shared" si="50"/>
        <v>0</v>
      </c>
      <c r="U75" s="5"/>
      <c r="V75" s="528">
        <v>0</v>
      </c>
      <c r="W75" s="5"/>
      <c r="X75" s="377">
        <v>0</v>
      </c>
      <c r="Y75" s="378"/>
      <c r="Z75" s="378">
        <v>0</v>
      </c>
      <c r="AA75" s="302">
        <f t="shared" si="51"/>
        <v>0</v>
      </c>
      <c r="AB75" s="5"/>
      <c r="AC75" s="528">
        <v>0</v>
      </c>
      <c r="AD75" s="5"/>
      <c r="AE75" s="377"/>
      <c r="AF75" s="378"/>
      <c r="AG75" s="378"/>
      <c r="AH75" s="302"/>
      <c r="AI75" s="5"/>
      <c r="AJ75" s="528"/>
      <c r="AL75" s="377"/>
      <c r="AM75" s="378"/>
      <c r="AN75" s="378"/>
      <c r="AO75" s="302"/>
      <c r="AP75" s="5"/>
      <c r="AQ75" s="528"/>
    </row>
    <row r="76" spans="1:43">
      <c r="A76" s="5"/>
      <c r="B76" s="5"/>
      <c r="C76" s="5"/>
      <c r="D76" s="243"/>
      <c r="E76" s="243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3"/>
      <c r="AB76" s="5"/>
      <c r="AC76" s="5"/>
      <c r="AD76" s="5"/>
      <c r="AE76" s="5"/>
      <c r="AF76" s="5"/>
      <c r="AG76" s="5"/>
      <c r="AH76" s="243"/>
      <c r="AI76" s="5"/>
      <c r="AJ76" s="5"/>
      <c r="AL76" s="5"/>
      <c r="AM76" s="5"/>
      <c r="AN76" s="5"/>
      <c r="AO76" s="243"/>
      <c r="AP76" s="5"/>
      <c r="AQ76" s="5"/>
    </row>
    <row r="77" spans="1:43">
      <c r="A77" s="5"/>
      <c r="B77" s="5"/>
      <c r="C77" s="5"/>
      <c r="D77" s="243"/>
      <c r="E77" s="24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3"/>
      <c r="AB77" s="5"/>
      <c r="AC77" s="5"/>
      <c r="AD77" s="5"/>
      <c r="AE77" s="5"/>
      <c r="AF77" s="5"/>
      <c r="AG77" s="604"/>
      <c r="AH77" s="604"/>
      <c r="AI77" s="5"/>
      <c r="AJ77" s="5"/>
      <c r="AL77" s="5"/>
      <c r="AM77" s="5"/>
      <c r="AN77" s="604"/>
      <c r="AO77" s="604"/>
      <c r="AP77" s="5"/>
      <c r="AQ77" s="5"/>
    </row>
    <row r="78" spans="1:43">
      <c r="A78" s="5"/>
      <c r="B78" s="5"/>
      <c r="C78" s="5"/>
      <c r="D78" s="243"/>
      <c r="E78" s="243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62"/>
      <c r="Y78" s="5"/>
      <c r="Z78" s="5"/>
      <c r="AA78" s="243"/>
      <c r="AB78" s="5"/>
      <c r="AC78" s="5"/>
      <c r="AD78" s="5"/>
      <c r="AE78" s="562"/>
      <c r="AF78" s="5"/>
      <c r="AG78" s="604"/>
      <c r="AH78" s="604"/>
      <c r="AI78" s="5"/>
      <c r="AJ78" s="5"/>
      <c r="AL78" s="562"/>
      <c r="AM78" s="5"/>
      <c r="AN78" s="604"/>
      <c r="AO78" s="604"/>
      <c r="AP78" s="5"/>
      <c r="AQ78" s="5"/>
    </row>
    <row r="79" spans="1:43">
      <c r="A79" s="5"/>
      <c r="B79" s="5"/>
      <c r="C79" s="5"/>
      <c r="D79" s="243"/>
      <c r="E79" s="24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62"/>
      <c r="Y79" s="5"/>
      <c r="Z79" s="5"/>
      <c r="AA79" s="243"/>
      <c r="AB79" s="5"/>
      <c r="AC79" s="5"/>
      <c r="AD79" s="5"/>
      <c r="AE79" s="562"/>
      <c r="AF79" s="5"/>
      <c r="AG79" s="604"/>
      <c r="AH79" s="604"/>
      <c r="AI79" s="5"/>
      <c r="AJ79" s="5"/>
      <c r="AL79" s="562"/>
      <c r="AM79" s="5"/>
      <c r="AN79" s="604"/>
      <c r="AO79" s="604"/>
      <c r="AP79" s="5"/>
      <c r="AQ79" s="5"/>
    </row>
    <row r="80" spans="1:43">
      <c r="A80" s="5"/>
      <c r="B80" s="5"/>
      <c r="C80" s="5"/>
      <c r="D80" s="243"/>
      <c r="E80" s="243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62"/>
      <c r="Y80" s="5"/>
      <c r="Z80" s="5"/>
      <c r="AA80" s="243"/>
      <c r="AB80" s="5"/>
      <c r="AC80" s="5"/>
      <c r="AD80" s="5"/>
      <c r="AE80" s="562"/>
      <c r="AF80" s="5"/>
      <c r="AG80" s="604"/>
      <c r="AH80" s="604"/>
      <c r="AI80" s="5"/>
      <c r="AJ80" s="5"/>
      <c r="AL80" s="562"/>
      <c r="AM80" s="5"/>
      <c r="AN80" s="604"/>
      <c r="AO80" s="604"/>
      <c r="AP80" s="5"/>
      <c r="AQ80" s="5"/>
    </row>
    <row r="81" spans="1:43">
      <c r="A81" s="5"/>
      <c r="B81" s="5"/>
      <c r="C81" s="5"/>
      <c r="D81" s="243"/>
      <c r="E81" s="243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62"/>
      <c r="Y81" s="5"/>
      <c r="Z81" s="5"/>
      <c r="AA81" s="243"/>
      <c r="AB81" s="5"/>
      <c r="AC81" s="5"/>
      <c r="AD81" s="5"/>
      <c r="AE81" s="562"/>
      <c r="AF81" s="5"/>
      <c r="AG81" s="604"/>
      <c r="AH81" s="604"/>
      <c r="AI81" s="5"/>
      <c r="AJ81" s="5"/>
      <c r="AL81" s="562"/>
      <c r="AM81" s="5"/>
      <c r="AN81" s="604"/>
      <c r="AO81" s="604"/>
      <c r="AP81" s="5"/>
      <c r="AQ81" s="5"/>
    </row>
    <row r="82" spans="1:43">
      <c r="A82" s="5"/>
      <c r="B82" s="5"/>
      <c r="C82" s="5"/>
      <c r="D82" s="243"/>
      <c r="E82" s="243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3"/>
      <c r="AB82" s="5"/>
      <c r="AC82" s="5"/>
      <c r="AD82" s="5"/>
      <c r="AE82" s="5"/>
      <c r="AF82" s="5"/>
      <c r="AG82" s="604"/>
      <c r="AH82" s="604"/>
      <c r="AI82" s="5"/>
      <c r="AJ82" s="5"/>
      <c r="AL82" s="5"/>
      <c r="AM82" s="5"/>
      <c r="AN82" s="604"/>
      <c r="AO82" s="604"/>
      <c r="AP82" s="5"/>
      <c r="AQ82" s="5"/>
    </row>
    <row r="83" spans="1:43">
      <c r="A83" s="5"/>
      <c r="B83" s="5"/>
      <c r="C83" s="5"/>
      <c r="D83" s="243"/>
      <c r="E83" s="243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3"/>
      <c r="AB83" s="5"/>
      <c r="AC83" s="5"/>
      <c r="AD83" s="5"/>
      <c r="AE83" s="5"/>
      <c r="AF83" s="5"/>
      <c r="AG83" s="5"/>
      <c r="AH83" s="243"/>
      <c r="AI83" s="5"/>
      <c r="AJ83" s="5"/>
      <c r="AL83" s="5"/>
      <c r="AM83" s="5"/>
      <c r="AN83" s="5"/>
      <c r="AO83" s="243"/>
      <c r="AP83" s="5"/>
      <c r="AQ83" s="5"/>
    </row>
    <row r="84" spans="1:43">
      <c r="A84" s="5"/>
      <c r="B84" s="5"/>
      <c r="C84" s="5"/>
      <c r="D84" s="243"/>
      <c r="E84" s="243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3"/>
      <c r="AB84" s="5"/>
      <c r="AC84" s="5"/>
      <c r="AD84" s="5"/>
      <c r="AE84" s="5"/>
      <c r="AF84" s="5"/>
      <c r="AG84" s="5"/>
      <c r="AH84" s="243"/>
      <c r="AI84" s="5"/>
      <c r="AJ84" s="5"/>
      <c r="AL84" s="5"/>
      <c r="AM84" s="5"/>
      <c r="AN84" s="5"/>
      <c r="AO84" s="243"/>
      <c r="AP84" s="5"/>
      <c r="AQ84" s="5"/>
    </row>
    <row r="85" spans="1:43">
      <c r="A85" s="5"/>
      <c r="B85" s="5"/>
      <c r="C85" s="5"/>
      <c r="D85" s="243"/>
      <c r="E85" s="24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3"/>
      <c r="AB85" s="5"/>
      <c r="AC85" s="5"/>
      <c r="AD85" s="5"/>
      <c r="AE85" s="5"/>
      <c r="AF85" s="5"/>
      <c r="AG85" s="5"/>
      <c r="AH85" s="243"/>
      <c r="AI85" s="5"/>
      <c r="AJ85" s="5"/>
      <c r="AL85" s="5"/>
      <c r="AM85" s="5"/>
      <c r="AN85" s="5"/>
      <c r="AO85" s="243"/>
      <c r="AP85" s="5"/>
      <c r="AQ85" s="5"/>
    </row>
    <row r="86" spans="1:43">
      <c r="A86" s="5"/>
      <c r="B86" s="5"/>
      <c r="C86" s="5"/>
      <c r="D86" s="243"/>
      <c r="E86" s="24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3"/>
      <c r="AB86" s="5"/>
      <c r="AC86" s="5"/>
      <c r="AD86" s="5"/>
      <c r="AE86" s="5"/>
      <c r="AF86" s="5"/>
      <c r="AG86" s="5"/>
      <c r="AH86" s="243"/>
      <c r="AI86" s="5"/>
      <c r="AJ86" s="5"/>
      <c r="AL86" s="5"/>
      <c r="AM86" s="5"/>
      <c r="AN86" s="5"/>
      <c r="AO86" s="243"/>
      <c r="AP86" s="5"/>
      <c r="AQ86" s="5"/>
    </row>
    <row r="87" spans="1:43">
      <c r="A87" s="5"/>
      <c r="B87" s="5"/>
      <c r="C87" s="5"/>
      <c r="D87" s="243"/>
      <c r="E87" s="24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3"/>
      <c r="AB87" s="5"/>
      <c r="AC87" s="5"/>
      <c r="AD87" s="5"/>
      <c r="AE87" s="5"/>
      <c r="AF87" s="5"/>
      <c r="AG87" s="5"/>
      <c r="AH87" s="243"/>
      <c r="AI87" s="5"/>
      <c r="AJ87" s="5"/>
      <c r="AL87" s="5"/>
      <c r="AM87" s="5"/>
      <c r="AN87" s="5"/>
      <c r="AO87" s="243"/>
      <c r="AP87" s="5"/>
      <c r="AQ87" s="5"/>
    </row>
    <row r="88" spans="1:43">
      <c r="A88" s="5"/>
      <c r="B88" s="5"/>
      <c r="C88" s="5"/>
      <c r="D88" s="243"/>
      <c r="E88" s="243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3"/>
      <c r="AB88" s="5"/>
      <c r="AC88" s="5"/>
      <c r="AD88" s="5"/>
      <c r="AE88" s="5"/>
      <c r="AF88" s="5"/>
      <c r="AG88" s="5"/>
      <c r="AH88" s="243"/>
      <c r="AI88" s="5"/>
      <c r="AJ88" s="5"/>
      <c r="AL88" s="5"/>
      <c r="AM88" s="5"/>
      <c r="AN88" s="5"/>
      <c r="AO88" s="243"/>
      <c r="AP88" s="5"/>
      <c r="AQ88" s="5"/>
    </row>
    <row r="89" spans="1:43">
      <c r="A89" s="5"/>
      <c r="B89" s="5"/>
      <c r="C89" s="5"/>
      <c r="D89" s="243"/>
      <c r="E89" s="243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3"/>
      <c r="AB89" s="5"/>
      <c r="AC89" s="5"/>
      <c r="AD89" s="5"/>
      <c r="AE89" s="5"/>
      <c r="AF89" s="5"/>
      <c r="AG89" s="5"/>
      <c r="AH89" s="243"/>
      <c r="AI89" s="5"/>
      <c r="AJ89" s="5"/>
      <c r="AL89" s="5"/>
      <c r="AM89" s="5"/>
      <c r="AN89" s="5"/>
      <c r="AO89" s="243"/>
      <c r="AP89" s="5"/>
      <c r="AQ89" s="5"/>
    </row>
    <row r="90" spans="1:43">
      <c r="A90" s="5"/>
      <c r="B90" s="5"/>
      <c r="C90" s="5"/>
      <c r="D90" s="243"/>
      <c r="E90" s="243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3"/>
      <c r="AB90" s="5"/>
      <c r="AC90" s="5"/>
      <c r="AD90" s="5"/>
      <c r="AE90" s="5"/>
      <c r="AF90" s="5"/>
      <c r="AG90" s="5"/>
      <c r="AH90" s="243"/>
      <c r="AI90" s="5"/>
      <c r="AJ90" s="5"/>
      <c r="AL90" s="5"/>
      <c r="AM90" s="5"/>
      <c r="AN90" s="5"/>
      <c r="AO90" s="243"/>
      <c r="AP90" s="5"/>
      <c r="AQ90" s="5"/>
    </row>
    <row r="91" spans="1:43">
      <c r="A91" s="5"/>
      <c r="B91" s="5"/>
      <c r="C91" s="5"/>
      <c r="D91" s="243"/>
      <c r="E91" s="243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3"/>
      <c r="AB91" s="5"/>
      <c r="AC91" s="5"/>
      <c r="AD91" s="5"/>
      <c r="AE91" s="5"/>
      <c r="AF91" s="5"/>
      <c r="AG91" s="5"/>
      <c r="AH91" s="243"/>
      <c r="AI91" s="5"/>
      <c r="AJ91" s="5"/>
      <c r="AL91" s="5"/>
      <c r="AM91" s="5"/>
      <c r="AN91" s="5"/>
      <c r="AO91" s="243"/>
      <c r="AP91" s="5"/>
      <c r="AQ91" s="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BV324"/>
  <sheetViews>
    <sheetView zoomScale="90" zoomScaleNormal="90" workbookViewId="0">
      <pane xSplit="1" topLeftCell="AP1" activePane="topRight" state="frozen"/>
      <selection pane="topRight" activeCell="AQ36" sqref="AQ36"/>
    </sheetView>
  </sheetViews>
  <sheetFormatPr defaultColWidth="9.15234375" defaultRowHeight="14.6" outlineLevelCol="1"/>
  <cols>
    <col min="1" max="1" width="71.53515625" style="85" bestFit="1" customWidth="1"/>
    <col min="2" max="2" width="62" style="85" bestFit="1" customWidth="1"/>
    <col min="3" max="4" width="12.3828125" style="85" hidden="1" customWidth="1" outlineLevel="1"/>
    <col min="5" max="5" width="12.3828125" style="85" customWidth="1" collapsed="1"/>
    <col min="6" max="8" width="12.3828125" style="85" hidden="1" customWidth="1" outlineLevel="1"/>
    <col min="9" max="9" width="12.3828125" style="85" customWidth="1" collapsed="1"/>
    <col min="10" max="12" width="12.3828125" style="85" hidden="1" customWidth="1" outlineLevel="1"/>
    <col min="13" max="13" width="12.3828125" style="85" customWidth="1" collapsed="1"/>
    <col min="14" max="16" width="12.3828125" style="85" hidden="1" customWidth="1" outlineLevel="1"/>
    <col min="17" max="17" width="12.3828125" style="85" customWidth="1" collapsed="1"/>
    <col min="18" max="19" width="14.3046875" style="85" hidden="1" customWidth="1" outlineLevel="1"/>
    <col min="20" max="20" width="12.3828125" style="107" hidden="1" customWidth="1" outlineLevel="1"/>
    <col min="21" max="21" width="12.3828125" style="85" customWidth="1" collapsed="1"/>
    <col min="22" max="24" width="12.3828125" style="85" hidden="1" customWidth="1" outlineLevel="1"/>
    <col min="25" max="25" width="11.3828125" style="85" bestFit="1" customWidth="1" collapsed="1"/>
    <col min="26" max="28" width="12.3828125" style="85" hidden="1" customWidth="1" outlineLevel="1"/>
    <col min="29" max="29" width="11.3828125" style="85" bestFit="1" customWidth="1" collapsed="1"/>
    <col min="30" max="31" width="12.3828125" style="85" customWidth="1" outlineLevel="1"/>
    <col min="32" max="32" width="12.3828125" style="513" customWidth="1" outlineLevel="1"/>
    <col min="33" max="33" width="11.3828125" style="85" customWidth="1"/>
    <col min="34" max="34" width="12.3046875" style="85" bestFit="1" customWidth="1"/>
    <col min="35" max="35" width="12.15234375" style="85" bestFit="1" customWidth="1"/>
    <col min="36" max="36" width="11.84375" style="85" bestFit="1" customWidth="1"/>
    <col min="37" max="37" width="11.3046875" style="85" bestFit="1" customWidth="1"/>
    <col min="38" max="40" width="12.15234375" style="85" bestFit="1" customWidth="1"/>
    <col min="41" max="41" width="11.3046875" style="85" bestFit="1" customWidth="1"/>
    <col min="42" max="44" width="12.15234375" style="85" bestFit="1" customWidth="1"/>
    <col min="45" max="45" width="11.3046875" style="85" bestFit="1" customWidth="1"/>
    <col min="46" max="16384" width="9.15234375" style="85"/>
  </cols>
  <sheetData>
    <row r="1" spans="1:74">
      <c r="A1" s="84"/>
      <c r="C1" s="626">
        <v>2016</v>
      </c>
      <c r="D1" s="627"/>
      <c r="E1" s="628"/>
      <c r="F1" s="624">
        <v>2017</v>
      </c>
      <c r="G1" s="624"/>
      <c r="H1" s="624"/>
      <c r="I1" s="625"/>
      <c r="J1" s="623">
        <v>2018</v>
      </c>
      <c r="K1" s="624"/>
      <c r="L1" s="624"/>
      <c r="M1" s="625"/>
      <c r="N1" s="623">
        <v>2019</v>
      </c>
      <c r="O1" s="624"/>
      <c r="P1" s="624"/>
      <c r="Q1" s="625"/>
      <c r="R1" s="623" t="s">
        <v>107</v>
      </c>
      <c r="S1" s="624"/>
      <c r="T1" s="624"/>
      <c r="U1" s="625"/>
      <c r="V1" s="623" t="s">
        <v>232</v>
      </c>
      <c r="W1" s="624"/>
      <c r="X1" s="624"/>
      <c r="Y1" s="625"/>
      <c r="Z1" s="623" t="s">
        <v>231</v>
      </c>
      <c r="AA1" s="624"/>
      <c r="AB1" s="624"/>
      <c r="AC1" s="625"/>
      <c r="AD1" s="623" t="s">
        <v>297</v>
      </c>
      <c r="AE1" s="624"/>
      <c r="AF1" s="624"/>
      <c r="AG1" s="625"/>
      <c r="AH1" s="623" t="s">
        <v>335</v>
      </c>
      <c r="AI1" s="624"/>
      <c r="AJ1" s="624"/>
      <c r="AK1" s="625"/>
      <c r="AL1" s="623" t="s">
        <v>346</v>
      </c>
      <c r="AM1" s="624"/>
      <c r="AN1" s="624"/>
      <c r="AO1" s="625"/>
      <c r="AP1" s="623" t="s">
        <v>350</v>
      </c>
      <c r="AQ1" s="624"/>
      <c r="AR1" s="624"/>
      <c r="AS1" s="625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</row>
    <row r="2" spans="1:74" ht="20.25" customHeight="1" thickBot="1">
      <c r="A2" s="291" t="s">
        <v>72</v>
      </c>
      <c r="B2" s="291" t="s">
        <v>276</v>
      </c>
      <c r="C2" s="30" t="s">
        <v>108</v>
      </c>
      <c r="D2" s="24" t="s">
        <v>109</v>
      </c>
      <c r="E2" s="26" t="s">
        <v>110</v>
      </c>
      <c r="F2" s="25" t="s">
        <v>111</v>
      </c>
      <c r="G2" s="24" t="s">
        <v>112</v>
      </c>
      <c r="H2" s="24" t="s">
        <v>113</v>
      </c>
      <c r="I2" s="26" t="s">
        <v>114</v>
      </c>
      <c r="J2" s="27" t="s">
        <v>63</v>
      </c>
      <c r="K2" s="24" t="s">
        <v>3</v>
      </c>
      <c r="L2" s="24" t="s">
        <v>4</v>
      </c>
      <c r="M2" s="26" t="s">
        <v>5</v>
      </c>
      <c r="N2" s="27" t="s">
        <v>6</v>
      </c>
      <c r="O2" s="28">
        <v>43646</v>
      </c>
      <c r="P2" s="28">
        <v>43738</v>
      </c>
      <c r="Q2" s="29">
        <v>43830</v>
      </c>
      <c r="R2" s="64">
        <v>43921</v>
      </c>
      <c r="S2" s="28">
        <v>44012</v>
      </c>
      <c r="T2" s="68">
        <v>44104</v>
      </c>
      <c r="U2" s="29" t="s">
        <v>115</v>
      </c>
      <c r="V2" s="64">
        <v>43951</v>
      </c>
      <c r="W2" s="28">
        <v>44043</v>
      </c>
      <c r="X2" s="68">
        <v>44135</v>
      </c>
      <c r="Y2" s="29">
        <v>44227</v>
      </c>
      <c r="Z2" s="64">
        <v>44316</v>
      </c>
      <c r="AA2" s="28">
        <v>44408</v>
      </c>
      <c r="AB2" s="68">
        <v>44500</v>
      </c>
      <c r="AC2" s="29">
        <v>44592</v>
      </c>
      <c r="AD2" s="64">
        <v>44681</v>
      </c>
      <c r="AE2" s="28">
        <v>44773</v>
      </c>
      <c r="AF2" s="68">
        <v>44865</v>
      </c>
      <c r="AG2" s="29">
        <v>44957</v>
      </c>
      <c r="AH2" s="64">
        <v>45046</v>
      </c>
      <c r="AI2" s="28">
        <v>45138</v>
      </c>
      <c r="AJ2" s="68">
        <v>45230</v>
      </c>
      <c r="AK2" s="29">
        <v>45322</v>
      </c>
      <c r="AL2" s="64">
        <v>45412</v>
      </c>
      <c r="AM2" s="28">
        <v>45504</v>
      </c>
      <c r="AN2" s="68">
        <v>45596</v>
      </c>
      <c r="AO2" s="29">
        <v>45688</v>
      </c>
      <c r="AP2" s="64">
        <v>45777</v>
      </c>
      <c r="AQ2" s="28">
        <v>45869</v>
      </c>
      <c r="AR2" s="68">
        <v>45961</v>
      </c>
      <c r="AS2" s="29">
        <v>46053</v>
      </c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</row>
    <row r="3" spans="1:74" ht="20.25" customHeight="1" thickTop="1">
      <c r="A3" s="88" t="s">
        <v>116</v>
      </c>
      <c r="B3" s="88" t="s">
        <v>117</v>
      </c>
      <c r="C3" s="89"/>
      <c r="D3" s="90"/>
      <c r="E3" s="91"/>
      <c r="F3" s="92"/>
      <c r="G3" s="90"/>
      <c r="H3" s="90"/>
      <c r="I3" s="91"/>
      <c r="J3" s="89"/>
      <c r="K3" s="90"/>
      <c r="L3" s="90"/>
      <c r="M3" s="91"/>
      <c r="N3" s="89"/>
      <c r="O3" s="90"/>
      <c r="P3" s="90"/>
      <c r="Q3" s="91"/>
      <c r="R3" s="89"/>
      <c r="S3" s="90"/>
      <c r="T3" s="93"/>
      <c r="U3" s="91"/>
      <c r="V3" s="89"/>
      <c r="W3" s="90"/>
      <c r="X3" s="93"/>
      <c r="Y3" s="91"/>
      <c r="Z3" s="89"/>
      <c r="AA3" s="90"/>
      <c r="AB3" s="93"/>
      <c r="AC3" s="91"/>
      <c r="AD3" s="89"/>
      <c r="AE3" s="90"/>
      <c r="AF3" s="506"/>
      <c r="AG3" s="91"/>
      <c r="AH3" s="89"/>
      <c r="AI3" s="90"/>
      <c r="AJ3" s="506"/>
      <c r="AK3" s="91"/>
      <c r="AL3" s="89"/>
      <c r="AM3" s="90"/>
      <c r="AN3" s="506"/>
      <c r="AO3" s="91"/>
      <c r="AP3" s="89"/>
      <c r="AQ3" s="90"/>
      <c r="AR3" s="506"/>
      <c r="AS3" s="91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</row>
    <row r="4" spans="1:74" ht="20.25" customHeight="1">
      <c r="A4" s="85" t="s">
        <v>118</v>
      </c>
      <c r="B4" s="85" t="s">
        <v>119</v>
      </c>
      <c r="C4" s="94">
        <v>7.5</v>
      </c>
      <c r="D4" s="95">
        <v>7.8</v>
      </c>
      <c r="E4" s="96">
        <v>181.2</v>
      </c>
      <c r="F4" s="97">
        <v>181.2</v>
      </c>
      <c r="G4" s="98">
        <v>189.2</v>
      </c>
      <c r="H4" s="98">
        <v>193</v>
      </c>
      <c r="I4" s="96">
        <v>197.5</v>
      </c>
      <c r="J4" s="99">
        <v>200.5</v>
      </c>
      <c r="K4" s="98">
        <v>213.7</v>
      </c>
      <c r="L4" s="98">
        <v>218.4</v>
      </c>
      <c r="M4" s="96">
        <v>261.7</v>
      </c>
      <c r="N4" s="100">
        <v>277.5</v>
      </c>
      <c r="O4" s="98">
        <v>314.8</v>
      </c>
      <c r="P4" s="98">
        <v>328.1</v>
      </c>
      <c r="Q4" s="101">
        <v>326.39999999999998</v>
      </c>
      <c r="R4" s="100">
        <v>323.39999999999998</v>
      </c>
      <c r="S4" s="102">
        <v>313.60000000000002</v>
      </c>
      <c r="T4" s="102">
        <v>311.89999999999998</v>
      </c>
      <c r="U4" s="101" t="s">
        <v>92</v>
      </c>
      <c r="V4" s="100">
        <v>322.8</v>
      </c>
      <c r="W4" s="102">
        <v>313.7</v>
      </c>
      <c r="X4" s="102">
        <v>311.89999999999998</v>
      </c>
      <c r="Y4" s="101">
        <v>308.3</v>
      </c>
      <c r="Z4" s="100">
        <v>305.89999999999998</v>
      </c>
      <c r="AA4" s="102">
        <v>305</v>
      </c>
      <c r="AB4" s="102">
        <v>299.89999999999998</v>
      </c>
      <c r="AC4" s="101">
        <v>317.89999999999998</v>
      </c>
      <c r="AD4" s="100">
        <v>327.2</v>
      </c>
      <c r="AE4" s="102">
        <v>345.7</v>
      </c>
      <c r="AF4" s="507">
        <v>349.4</v>
      </c>
      <c r="AG4" s="101">
        <v>376.8</v>
      </c>
      <c r="AH4" s="100">
        <v>396.1</v>
      </c>
      <c r="AI4" s="102">
        <v>411.5</v>
      </c>
      <c r="AJ4" s="507">
        <v>424.2</v>
      </c>
      <c r="AK4" s="101">
        <v>431.5</v>
      </c>
      <c r="AL4" s="100">
        <v>442.4</v>
      </c>
      <c r="AM4" s="102">
        <v>456.6</v>
      </c>
      <c r="AN4" s="507">
        <v>466.5</v>
      </c>
      <c r="AO4" s="101">
        <v>474.2</v>
      </c>
      <c r="AP4" s="100">
        <v>476.5</v>
      </c>
      <c r="AQ4" s="102"/>
      <c r="AR4" s="507"/>
      <c r="AS4" s="101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</row>
    <row r="5" spans="1:74" ht="20.25" customHeight="1">
      <c r="A5" s="85" t="s">
        <v>120</v>
      </c>
      <c r="B5" s="85" t="s">
        <v>121</v>
      </c>
      <c r="C5" s="94">
        <v>210.5</v>
      </c>
      <c r="D5" s="95">
        <v>210.5</v>
      </c>
      <c r="E5" s="96">
        <v>106.2</v>
      </c>
      <c r="F5" s="97">
        <v>106.2</v>
      </c>
      <c r="G5" s="98">
        <v>106.2</v>
      </c>
      <c r="H5" s="98">
        <v>106.2</v>
      </c>
      <c r="I5" s="96">
        <v>106.2</v>
      </c>
      <c r="J5" s="99">
        <v>106.2</v>
      </c>
      <c r="K5" s="98">
        <v>149.9</v>
      </c>
      <c r="L5" s="98">
        <v>188.8</v>
      </c>
      <c r="M5" s="96">
        <v>202.5</v>
      </c>
      <c r="N5" s="100">
        <v>300.8</v>
      </c>
      <c r="O5" s="98">
        <v>226.1</v>
      </c>
      <c r="P5" s="98">
        <v>227.1</v>
      </c>
      <c r="Q5" s="101">
        <v>217.9</v>
      </c>
      <c r="R5" s="100">
        <v>220.3</v>
      </c>
      <c r="S5" s="102">
        <v>216.8</v>
      </c>
      <c r="T5" s="102">
        <v>217.1</v>
      </c>
      <c r="U5" s="101" t="s">
        <v>92</v>
      </c>
      <c r="V5" s="100">
        <v>220.1</v>
      </c>
      <c r="W5" s="102">
        <v>216.4</v>
      </c>
      <c r="X5" s="102">
        <v>218</v>
      </c>
      <c r="Y5" s="101">
        <v>197.9</v>
      </c>
      <c r="Z5" s="100">
        <v>197.7</v>
      </c>
      <c r="AA5" s="102">
        <v>197.8</v>
      </c>
      <c r="AB5" s="102">
        <v>198</v>
      </c>
      <c r="AC5" s="101">
        <v>197.9</v>
      </c>
      <c r="AD5" s="100">
        <v>198.4</v>
      </c>
      <c r="AE5" s="102">
        <v>204.1</v>
      </c>
      <c r="AF5" s="507">
        <v>203.8</v>
      </c>
      <c r="AG5" s="101">
        <v>203.9</v>
      </c>
      <c r="AH5" s="100">
        <v>202.8</v>
      </c>
      <c r="AI5" s="102">
        <v>200.8</v>
      </c>
      <c r="AJ5" s="507">
        <v>200.8</v>
      </c>
      <c r="AK5" s="101">
        <v>199.7</v>
      </c>
      <c r="AL5" s="100">
        <v>199.5</v>
      </c>
      <c r="AM5" s="102">
        <v>200.5</v>
      </c>
      <c r="AN5" s="507">
        <v>201.1</v>
      </c>
      <c r="AO5" s="101">
        <v>199.6</v>
      </c>
      <c r="AP5" s="100">
        <v>200.3</v>
      </c>
      <c r="AQ5" s="102"/>
      <c r="AR5" s="507"/>
      <c r="AS5" s="101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</row>
    <row r="6" spans="1:74" ht="20.25" customHeight="1">
      <c r="A6" s="85" t="s">
        <v>214</v>
      </c>
      <c r="B6" s="85" t="s">
        <v>215</v>
      </c>
      <c r="C6" s="94">
        <v>641.5</v>
      </c>
      <c r="D6" s="95">
        <v>650.20000000000005</v>
      </c>
      <c r="E6" s="96">
        <v>679.6</v>
      </c>
      <c r="F6" s="97">
        <v>679.2</v>
      </c>
      <c r="G6" s="98">
        <v>736.9</v>
      </c>
      <c r="H6" s="98">
        <v>753.1</v>
      </c>
      <c r="I6" s="96">
        <v>787</v>
      </c>
      <c r="J6" s="99">
        <v>825.5</v>
      </c>
      <c r="K6" s="98">
        <v>1026.7</v>
      </c>
      <c r="L6" s="98">
        <v>1091.4000000000001</v>
      </c>
      <c r="M6" s="96">
        <v>1144.3</v>
      </c>
      <c r="N6" s="100">
        <v>1225.5999999999999</v>
      </c>
      <c r="O6" s="98">
        <v>1283.4000000000001</v>
      </c>
      <c r="P6" s="98">
        <v>1333.2</v>
      </c>
      <c r="Q6" s="101">
        <v>1379.9999999999998</v>
      </c>
      <c r="R6" s="100">
        <v>1362.7999999999997</v>
      </c>
      <c r="S6" s="102">
        <v>1320.4999999999998</v>
      </c>
      <c r="T6" s="102">
        <v>1294.9000000000001</v>
      </c>
      <c r="U6" s="101" t="s">
        <v>92</v>
      </c>
      <c r="V6" s="100">
        <v>1377.8000000000002</v>
      </c>
      <c r="W6" s="102">
        <v>1312.7</v>
      </c>
      <c r="X6" s="102">
        <v>1287.5999999999999</v>
      </c>
      <c r="Y6" s="101">
        <v>1237.8999999999999</v>
      </c>
      <c r="Z6" s="100">
        <v>1211.8999999999996</v>
      </c>
      <c r="AA6" s="102">
        <v>1247.6000000000001</v>
      </c>
      <c r="AB6" s="102">
        <v>1264.9000000000001</v>
      </c>
      <c r="AC6" s="101">
        <v>1288.7000000000003</v>
      </c>
      <c r="AD6" s="100">
        <v>1290.3</v>
      </c>
      <c r="AE6" s="102">
        <v>1373.3000000000002</v>
      </c>
      <c r="AF6" s="507">
        <v>1418</v>
      </c>
      <c r="AG6" s="101">
        <v>1441.9</v>
      </c>
      <c r="AH6" s="100">
        <v>1449.6000000000001</v>
      </c>
      <c r="AI6" s="102">
        <v>1461.7</v>
      </c>
      <c r="AJ6" s="507">
        <v>1421.8999999999999</v>
      </c>
      <c r="AK6" s="101">
        <v>1445.5</v>
      </c>
      <c r="AL6" s="100">
        <v>1428.3</v>
      </c>
      <c r="AM6" s="102">
        <v>1434.6000000000001</v>
      </c>
      <c r="AN6" s="507">
        <v>1500.4999999999998</v>
      </c>
      <c r="AO6" s="101">
        <v>1630.5000000000002</v>
      </c>
      <c r="AP6" s="100">
        <v>1737.2</v>
      </c>
      <c r="AQ6" s="102"/>
      <c r="AR6" s="507"/>
      <c r="AS6" s="101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</row>
    <row r="7" spans="1:74" ht="20.25" customHeight="1">
      <c r="A7" s="85" t="s">
        <v>122</v>
      </c>
      <c r="B7" s="85" t="s">
        <v>216</v>
      </c>
      <c r="C7" s="94" t="s">
        <v>28</v>
      </c>
      <c r="D7" s="95" t="s">
        <v>28</v>
      </c>
      <c r="E7" s="96" t="s">
        <v>28</v>
      </c>
      <c r="F7" s="97" t="s">
        <v>28</v>
      </c>
      <c r="G7" s="98" t="s">
        <v>28</v>
      </c>
      <c r="H7" s="98" t="s">
        <v>28</v>
      </c>
      <c r="I7" s="96" t="s">
        <v>28</v>
      </c>
      <c r="J7" s="99">
        <v>2403.6999999999998</v>
      </c>
      <c r="K7" s="98">
        <v>2453.8000000000002</v>
      </c>
      <c r="L7" s="98">
        <v>2328.6</v>
      </c>
      <c r="M7" s="96">
        <v>1870.1</v>
      </c>
      <c r="N7" s="100">
        <v>1866.9</v>
      </c>
      <c r="O7" s="98">
        <v>2101.3000000000002</v>
      </c>
      <c r="P7" s="98">
        <v>2048.5</v>
      </c>
      <c r="Q7" s="101">
        <v>1986.6</v>
      </c>
      <c r="R7" s="100">
        <v>1958.2</v>
      </c>
      <c r="S7" s="102">
        <v>1538.1</v>
      </c>
      <c r="T7" s="102">
        <v>1506</v>
      </c>
      <c r="U7" s="101" t="s">
        <v>92</v>
      </c>
      <c r="V7" s="100">
        <v>1924.7</v>
      </c>
      <c r="W7" s="102">
        <v>1520.2</v>
      </c>
      <c r="X7" s="102">
        <v>1515.1999999999998</v>
      </c>
      <c r="Y7" s="101">
        <v>1455.5</v>
      </c>
      <c r="Z7" s="100">
        <v>1421.8000000000002</v>
      </c>
      <c r="AA7" s="102">
        <v>1344.6</v>
      </c>
      <c r="AB7" s="102">
        <v>1256.5</v>
      </c>
      <c r="AC7" s="101">
        <v>1388.8999999999999</v>
      </c>
      <c r="AD7" s="100">
        <v>1318.8</v>
      </c>
      <c r="AE7" s="102">
        <v>1317.6</v>
      </c>
      <c r="AF7" s="507">
        <v>1262.0999999999999</v>
      </c>
      <c r="AG7" s="101" t="s">
        <v>319</v>
      </c>
      <c r="AH7" s="100">
        <v>1353.1</v>
      </c>
      <c r="AI7" s="102">
        <v>1378.1</v>
      </c>
      <c r="AJ7" s="507">
        <v>1420.8</v>
      </c>
      <c r="AK7" s="101">
        <v>1400.1</v>
      </c>
      <c r="AL7" s="100">
        <v>1383.6</v>
      </c>
      <c r="AM7" s="102">
        <v>1399.9</v>
      </c>
      <c r="AN7" s="507">
        <v>1386.6</v>
      </c>
      <c r="AO7" s="101">
        <v>1586.9</v>
      </c>
      <c r="AP7" s="100">
        <v>1600.8</v>
      </c>
      <c r="AQ7" s="102"/>
      <c r="AR7" s="507"/>
      <c r="AS7" s="101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</row>
    <row r="8" spans="1:74" ht="20.25" customHeight="1">
      <c r="A8" s="85" t="s">
        <v>123</v>
      </c>
      <c r="B8" s="85" t="s">
        <v>217</v>
      </c>
      <c r="C8" s="94">
        <v>312.8</v>
      </c>
      <c r="D8" s="95">
        <v>316.2</v>
      </c>
      <c r="E8" s="96">
        <v>60.1</v>
      </c>
      <c r="F8" s="97">
        <v>71.7</v>
      </c>
      <c r="G8" s="98">
        <v>55.3</v>
      </c>
      <c r="H8" s="98">
        <v>62.2</v>
      </c>
      <c r="I8" s="96">
        <v>63.4</v>
      </c>
      <c r="J8" s="99">
        <v>66.400000000000006</v>
      </c>
      <c r="K8" s="98">
        <v>75.900000000000006</v>
      </c>
      <c r="L8" s="98">
        <v>79.900000000000006</v>
      </c>
      <c r="M8" s="96">
        <v>74.8</v>
      </c>
      <c r="N8" s="100">
        <v>96.9</v>
      </c>
      <c r="O8" s="98">
        <v>107.7</v>
      </c>
      <c r="P8" s="98">
        <v>102.5</v>
      </c>
      <c r="Q8" s="101">
        <v>110.3</v>
      </c>
      <c r="R8" s="100">
        <v>136.9</v>
      </c>
      <c r="S8" s="102">
        <v>157.1</v>
      </c>
      <c r="T8" s="102">
        <v>169.7</v>
      </c>
      <c r="U8" s="101" t="s">
        <v>92</v>
      </c>
      <c r="V8" s="100">
        <v>138.30000000000001</v>
      </c>
      <c r="W8" s="102">
        <v>156.30000000000001</v>
      </c>
      <c r="X8" s="102">
        <v>174</v>
      </c>
      <c r="Y8" s="101">
        <v>152.1</v>
      </c>
      <c r="Z8" s="100">
        <v>162.30000000000001</v>
      </c>
      <c r="AA8" s="102">
        <v>204.7</v>
      </c>
      <c r="AB8" s="102">
        <v>209.9</v>
      </c>
      <c r="AC8" s="101">
        <v>175.5</v>
      </c>
      <c r="AD8" s="100">
        <v>190.3</v>
      </c>
      <c r="AE8" s="102">
        <v>179.8</v>
      </c>
      <c r="AF8" s="507">
        <v>172.5</v>
      </c>
      <c r="AG8" s="101">
        <v>184.1</v>
      </c>
      <c r="AH8" s="100">
        <v>193.3</v>
      </c>
      <c r="AI8" s="102">
        <v>195.8</v>
      </c>
      <c r="AJ8" s="507">
        <v>219.1</v>
      </c>
      <c r="AK8" s="101">
        <v>248.7</v>
      </c>
      <c r="AL8" s="100">
        <v>270.2</v>
      </c>
      <c r="AM8" s="102">
        <v>410.64</v>
      </c>
      <c r="AN8" s="507">
        <v>382.1</v>
      </c>
      <c r="AO8" s="101">
        <v>415.9</v>
      </c>
      <c r="AP8" s="100">
        <v>445.1</v>
      </c>
      <c r="AQ8" s="102"/>
      <c r="AR8" s="507"/>
      <c r="AS8" s="101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</row>
    <row r="9" spans="1:74" ht="20.25" customHeight="1">
      <c r="A9" s="85" t="s">
        <v>124</v>
      </c>
      <c r="B9" s="85" t="s">
        <v>125</v>
      </c>
      <c r="C9" s="94" t="s">
        <v>28</v>
      </c>
      <c r="D9" s="95">
        <v>15</v>
      </c>
      <c r="E9" s="96" t="s">
        <v>28</v>
      </c>
      <c r="F9" s="97" t="s">
        <v>28</v>
      </c>
      <c r="G9" s="98" t="s">
        <v>28</v>
      </c>
      <c r="H9" s="98" t="s">
        <v>28</v>
      </c>
      <c r="I9" s="96" t="s">
        <v>28</v>
      </c>
      <c r="J9" s="99" t="s">
        <v>28</v>
      </c>
      <c r="K9" s="98">
        <v>1.9</v>
      </c>
      <c r="L9" s="98" t="s">
        <v>28</v>
      </c>
      <c r="M9" s="96" t="s">
        <v>28</v>
      </c>
      <c r="N9" s="100">
        <v>150.1</v>
      </c>
      <c r="O9" s="98">
        <v>79.2</v>
      </c>
      <c r="P9" s="98">
        <v>83.4</v>
      </c>
      <c r="Q9" s="101">
        <v>78</v>
      </c>
      <c r="R9" s="100">
        <v>142.80000000000001</v>
      </c>
      <c r="S9" s="102" t="s">
        <v>28</v>
      </c>
      <c r="T9" s="102">
        <v>0</v>
      </c>
      <c r="U9" s="101" t="s">
        <v>92</v>
      </c>
      <c r="V9" s="100">
        <v>114.9</v>
      </c>
      <c r="W9" s="102">
        <v>0</v>
      </c>
      <c r="X9" s="102">
        <v>0</v>
      </c>
      <c r="Y9" s="101">
        <v>0</v>
      </c>
      <c r="Z9" s="100">
        <v>0</v>
      </c>
      <c r="AA9" s="102">
        <v>0</v>
      </c>
      <c r="AB9" s="102">
        <v>0</v>
      </c>
      <c r="AC9" s="101">
        <v>0</v>
      </c>
      <c r="AD9" s="100">
        <v>0</v>
      </c>
      <c r="AE9" s="102">
        <v>0</v>
      </c>
      <c r="AF9" s="507">
        <v>0</v>
      </c>
      <c r="AG9" s="101" t="s">
        <v>316</v>
      </c>
      <c r="AH9" s="100">
        <v>0</v>
      </c>
      <c r="AI9" s="102">
        <v>0</v>
      </c>
      <c r="AJ9" s="507">
        <v>0</v>
      </c>
      <c r="AK9" s="101">
        <v>0</v>
      </c>
      <c r="AL9" s="100"/>
      <c r="AM9" s="102">
        <v>0</v>
      </c>
      <c r="AN9" s="507"/>
      <c r="AO9" s="101"/>
      <c r="AP9" s="100"/>
      <c r="AQ9" s="102"/>
      <c r="AR9" s="507"/>
      <c r="AS9" s="101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</row>
    <row r="10" spans="1:74" ht="20.25" customHeight="1" thickBot="1">
      <c r="A10" s="169" t="s">
        <v>127</v>
      </c>
      <c r="B10" s="169" t="s">
        <v>128</v>
      </c>
      <c r="C10" s="170">
        <v>1172.3</v>
      </c>
      <c r="D10" s="171">
        <v>1199.7</v>
      </c>
      <c r="E10" s="172">
        <v>1027.0999999999999</v>
      </c>
      <c r="F10" s="173">
        <v>1038.3</v>
      </c>
      <c r="G10" s="174">
        <v>1087.5999999999999</v>
      </c>
      <c r="H10" s="174">
        <v>1114.5</v>
      </c>
      <c r="I10" s="172">
        <v>1154.1000000000001</v>
      </c>
      <c r="J10" s="175">
        <v>3602.2999999999997</v>
      </c>
      <c r="K10" s="174">
        <v>3921.9000000000005</v>
      </c>
      <c r="L10" s="174">
        <v>3907.1</v>
      </c>
      <c r="M10" s="172">
        <v>3574.1</v>
      </c>
      <c r="N10" s="176">
        <v>4002.7</v>
      </c>
      <c r="O10" s="177">
        <v>4316.3999999999996</v>
      </c>
      <c r="P10" s="178">
        <v>4326.1000000000004</v>
      </c>
      <c r="Q10" s="179">
        <v>4210.5</v>
      </c>
      <c r="R10" s="176">
        <v>4217.2</v>
      </c>
      <c r="S10" s="177">
        <v>3568</v>
      </c>
      <c r="T10" s="177">
        <v>3521.6</v>
      </c>
      <c r="U10" s="179" t="s">
        <v>92</v>
      </c>
      <c r="V10" s="176">
        <v>4169.7</v>
      </c>
      <c r="W10" s="177">
        <v>3541.7000000000003</v>
      </c>
      <c r="X10" s="177">
        <v>3528.5</v>
      </c>
      <c r="Y10" s="179">
        <v>3375.1</v>
      </c>
      <c r="Z10" s="176">
        <v>3323.0000000000005</v>
      </c>
      <c r="AA10" s="177">
        <v>3321.4999999999995</v>
      </c>
      <c r="AB10" s="177">
        <v>3251.7</v>
      </c>
      <c r="AC10" s="179">
        <v>3393.7999999999993</v>
      </c>
      <c r="AD10" s="176">
        <v>3343.7</v>
      </c>
      <c r="AE10" s="177">
        <v>3439</v>
      </c>
      <c r="AF10" s="508">
        <v>3419.8999999999996</v>
      </c>
      <c r="AG10" s="179" t="s">
        <v>317</v>
      </c>
      <c r="AH10" s="176">
        <v>3609.6</v>
      </c>
      <c r="AI10" s="177">
        <v>3662.6</v>
      </c>
      <c r="AJ10" s="508">
        <v>3701.5999999999995</v>
      </c>
      <c r="AK10" s="179">
        <v>3740.5</v>
      </c>
      <c r="AL10" s="176">
        <v>3739</v>
      </c>
      <c r="AM10" s="177">
        <v>3940.74</v>
      </c>
      <c r="AN10" s="508">
        <v>3998.2</v>
      </c>
      <c r="AO10" s="179">
        <v>4345.7</v>
      </c>
      <c r="AP10" s="176">
        <v>4508.93</v>
      </c>
      <c r="AQ10" s="177"/>
      <c r="AR10" s="508"/>
      <c r="AS10" s="179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</row>
    <row r="11" spans="1:74" ht="20.25" customHeight="1" thickTop="1">
      <c r="A11" s="85" t="s">
        <v>129</v>
      </c>
      <c r="B11" s="85" t="s">
        <v>130</v>
      </c>
      <c r="C11" s="94">
        <v>842.1</v>
      </c>
      <c r="D11" s="95">
        <v>982.2</v>
      </c>
      <c r="E11" s="96">
        <v>1019.7</v>
      </c>
      <c r="F11" s="97">
        <v>1285.0999999999999</v>
      </c>
      <c r="G11" s="98">
        <v>1359.9</v>
      </c>
      <c r="H11" s="98">
        <v>1509.4</v>
      </c>
      <c r="I11" s="96">
        <v>1417.7</v>
      </c>
      <c r="J11" s="99">
        <v>1716.9</v>
      </c>
      <c r="K11" s="98">
        <v>1845.3</v>
      </c>
      <c r="L11" s="98">
        <v>1944</v>
      </c>
      <c r="M11" s="96">
        <v>1806.1</v>
      </c>
      <c r="N11" s="100">
        <v>2079.8000000000002</v>
      </c>
      <c r="O11" s="98">
        <v>2012.1</v>
      </c>
      <c r="P11" s="98">
        <v>2164.4</v>
      </c>
      <c r="Q11" s="101">
        <v>1942.3</v>
      </c>
      <c r="R11" s="100">
        <v>2370.6</v>
      </c>
      <c r="S11" s="102">
        <v>1994.6</v>
      </c>
      <c r="T11" s="102">
        <v>2134.1</v>
      </c>
      <c r="U11" s="101" t="s">
        <v>92</v>
      </c>
      <c r="V11" s="100">
        <v>2379.1</v>
      </c>
      <c r="W11" s="102">
        <v>2042.4</v>
      </c>
      <c r="X11" s="102">
        <v>2088.5</v>
      </c>
      <c r="Y11" s="101">
        <v>2192.6</v>
      </c>
      <c r="Z11" s="100">
        <v>2429.2000000000003</v>
      </c>
      <c r="AA11" s="102">
        <v>2456.9</v>
      </c>
      <c r="AB11" s="102">
        <v>2538</v>
      </c>
      <c r="AC11" s="101">
        <v>2625.8</v>
      </c>
      <c r="AD11" s="100">
        <v>2729.3999999999996</v>
      </c>
      <c r="AE11" s="102">
        <v>2950.7</v>
      </c>
      <c r="AF11" s="507">
        <v>3121.4</v>
      </c>
      <c r="AG11" s="101" t="s">
        <v>318</v>
      </c>
      <c r="AH11" s="100">
        <v>2914.3</v>
      </c>
      <c r="AI11" s="102">
        <v>2742.2</v>
      </c>
      <c r="AJ11" s="507">
        <v>3078.4</v>
      </c>
      <c r="AK11" s="101">
        <v>2911.6</v>
      </c>
      <c r="AL11" s="100">
        <v>3272</v>
      </c>
      <c r="AM11" s="102">
        <v>3577</v>
      </c>
      <c r="AN11" s="507">
        <v>3801.2</v>
      </c>
      <c r="AO11" s="101">
        <v>3579</v>
      </c>
      <c r="AP11" s="100">
        <v>3862.4</v>
      </c>
      <c r="AQ11" s="102"/>
      <c r="AR11" s="507"/>
      <c r="AS11" s="101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</row>
    <row r="12" spans="1:74" ht="20.25" customHeight="1">
      <c r="A12" s="85" t="s">
        <v>218</v>
      </c>
      <c r="B12" s="85" t="s">
        <v>126</v>
      </c>
      <c r="C12" s="94">
        <v>93.4</v>
      </c>
      <c r="D12" s="95">
        <v>88.9</v>
      </c>
      <c r="E12" s="96">
        <v>89.3</v>
      </c>
      <c r="F12" s="97">
        <v>120.4</v>
      </c>
      <c r="G12" s="98">
        <v>121.9</v>
      </c>
      <c r="H12" s="98">
        <v>35.200000000000003</v>
      </c>
      <c r="I12" s="96">
        <v>95.7</v>
      </c>
      <c r="J12" s="99">
        <v>139.19999999999999</v>
      </c>
      <c r="K12" s="98">
        <v>120.3</v>
      </c>
      <c r="L12" s="98">
        <v>132.69999999999999</v>
      </c>
      <c r="M12" s="96">
        <v>124.4</v>
      </c>
      <c r="N12" s="100">
        <v>198.3</v>
      </c>
      <c r="O12" s="98">
        <v>173.3</v>
      </c>
      <c r="P12" s="98">
        <v>220.40000000000003</v>
      </c>
      <c r="Q12" s="101">
        <v>209.3</v>
      </c>
      <c r="R12" s="100">
        <v>82.899999999999991</v>
      </c>
      <c r="S12" s="102">
        <v>145.80000000000001</v>
      </c>
      <c r="T12" s="102">
        <v>236.1</v>
      </c>
      <c r="U12" s="101" t="s">
        <v>92</v>
      </c>
      <c r="V12" s="100">
        <v>190.7</v>
      </c>
      <c r="W12" s="102">
        <v>174</v>
      </c>
      <c r="X12" s="102">
        <v>193.2</v>
      </c>
      <c r="Y12" s="101">
        <v>172.3</v>
      </c>
      <c r="Z12" s="100">
        <v>203.3</v>
      </c>
      <c r="AA12" s="102">
        <v>163.69999999999999</v>
      </c>
      <c r="AB12" s="102">
        <v>302.60000000000002</v>
      </c>
      <c r="AC12" s="101">
        <v>226.1</v>
      </c>
      <c r="AD12" s="100">
        <v>250.6</v>
      </c>
      <c r="AE12" s="102">
        <v>165.8</v>
      </c>
      <c r="AF12" s="507">
        <v>199</v>
      </c>
      <c r="AG12" s="101">
        <v>143.80000000000001</v>
      </c>
      <c r="AH12" s="100">
        <v>148.19999999999999</v>
      </c>
      <c r="AI12" s="102">
        <v>131.5</v>
      </c>
      <c r="AJ12" s="507">
        <v>187.2</v>
      </c>
      <c r="AK12" s="101">
        <v>194.1</v>
      </c>
      <c r="AL12" s="100">
        <v>252.2</v>
      </c>
      <c r="AM12" s="102">
        <v>252.1</v>
      </c>
      <c r="AN12" s="507">
        <v>346.6</v>
      </c>
      <c r="AO12" s="101">
        <v>330.9</v>
      </c>
      <c r="AP12" s="100">
        <v>535.20000000000005</v>
      </c>
      <c r="AQ12" s="102"/>
      <c r="AR12" s="507"/>
      <c r="AS12" s="101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</row>
    <row r="13" spans="1:74" ht="20.25" customHeight="1">
      <c r="A13" s="85" t="s">
        <v>124</v>
      </c>
      <c r="B13" s="85" t="s">
        <v>125</v>
      </c>
      <c r="C13" s="94">
        <v>15.1</v>
      </c>
      <c r="D13" s="95">
        <v>0.1</v>
      </c>
      <c r="E13" s="96">
        <v>11.1</v>
      </c>
      <c r="F13" s="97">
        <v>11.1</v>
      </c>
      <c r="G13" s="98">
        <v>11.1</v>
      </c>
      <c r="H13" s="98">
        <v>11.2</v>
      </c>
      <c r="I13" s="96">
        <v>9.1</v>
      </c>
      <c r="J13" s="99" t="s">
        <v>28</v>
      </c>
      <c r="K13" s="98">
        <v>11.2</v>
      </c>
      <c r="L13" s="98">
        <v>9.1</v>
      </c>
      <c r="M13" s="96">
        <v>37.700000000000003</v>
      </c>
      <c r="N13" s="100">
        <v>0.2</v>
      </c>
      <c r="O13" s="98" t="s">
        <v>28</v>
      </c>
      <c r="P13" s="98" t="s">
        <v>28</v>
      </c>
      <c r="Q13" s="101">
        <v>4.5999999999999996</v>
      </c>
      <c r="R13" s="100">
        <v>3.1</v>
      </c>
      <c r="S13" s="102" t="s">
        <v>28</v>
      </c>
      <c r="T13" s="102">
        <v>0</v>
      </c>
      <c r="U13" s="101" t="s">
        <v>92</v>
      </c>
      <c r="V13" s="100">
        <v>3.7</v>
      </c>
      <c r="W13" s="102">
        <v>0</v>
      </c>
      <c r="X13" s="102">
        <v>0</v>
      </c>
      <c r="Y13" s="101">
        <v>0</v>
      </c>
      <c r="Z13" s="100">
        <v>0</v>
      </c>
      <c r="AA13" s="102">
        <v>0</v>
      </c>
      <c r="AB13" s="102"/>
      <c r="AC13" s="101">
        <v>0</v>
      </c>
      <c r="AD13" s="100">
        <v>0</v>
      </c>
      <c r="AE13" s="102">
        <v>0</v>
      </c>
      <c r="AF13" s="507">
        <v>0</v>
      </c>
      <c r="AG13" s="101" t="s">
        <v>316</v>
      </c>
      <c r="AH13" s="100">
        <v>0</v>
      </c>
      <c r="AI13" s="102">
        <v>0</v>
      </c>
      <c r="AJ13" s="507">
        <v>0</v>
      </c>
      <c r="AK13" s="101">
        <v>0</v>
      </c>
      <c r="AL13" s="100">
        <v>0</v>
      </c>
      <c r="AM13" s="102">
        <v>0</v>
      </c>
      <c r="AN13" s="507"/>
      <c r="AO13" s="101"/>
      <c r="AP13" s="100"/>
      <c r="AQ13" s="102"/>
      <c r="AR13" s="507"/>
      <c r="AS13" s="101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</row>
    <row r="14" spans="1:74" ht="20.25" customHeight="1">
      <c r="A14" s="85" t="s">
        <v>131</v>
      </c>
      <c r="B14" s="85" t="s">
        <v>132</v>
      </c>
      <c r="C14" s="94">
        <v>38.200000000000003</v>
      </c>
      <c r="D14" s="95">
        <v>148.30000000000001</v>
      </c>
      <c r="E14" s="96">
        <v>98.2</v>
      </c>
      <c r="F14" s="97">
        <v>117.5</v>
      </c>
      <c r="G14" s="98">
        <v>140.69999999999999</v>
      </c>
      <c r="H14" s="98">
        <v>58</v>
      </c>
      <c r="I14" s="96">
        <v>155.4</v>
      </c>
      <c r="J14" s="99">
        <v>96</v>
      </c>
      <c r="K14" s="98">
        <v>318.2</v>
      </c>
      <c r="L14" s="98">
        <v>302.5</v>
      </c>
      <c r="M14" s="96">
        <v>306.39999999999998</v>
      </c>
      <c r="N14" s="100">
        <v>372</v>
      </c>
      <c r="O14" s="98">
        <v>177.2</v>
      </c>
      <c r="P14" s="98">
        <v>183.2</v>
      </c>
      <c r="Q14" s="101">
        <v>233</v>
      </c>
      <c r="R14" s="100">
        <v>286</v>
      </c>
      <c r="S14" s="102">
        <v>231.5</v>
      </c>
      <c r="T14" s="102">
        <v>198.9</v>
      </c>
      <c r="U14" s="101" t="s">
        <v>92</v>
      </c>
      <c r="V14" s="100">
        <v>235.2</v>
      </c>
      <c r="W14" s="102">
        <v>256.10000000000002</v>
      </c>
      <c r="X14" s="102">
        <v>272.8</v>
      </c>
      <c r="Y14" s="101">
        <v>234.1</v>
      </c>
      <c r="Z14" s="100">
        <v>238</v>
      </c>
      <c r="AA14" s="102">
        <v>299.2</v>
      </c>
      <c r="AB14" s="102">
        <v>342.9</v>
      </c>
      <c r="AC14" s="101">
        <v>293.40000000000003</v>
      </c>
      <c r="AD14" s="100">
        <v>378.7</v>
      </c>
      <c r="AE14" s="102">
        <v>278.39999999999998</v>
      </c>
      <c r="AF14" s="507">
        <v>271.2</v>
      </c>
      <c r="AG14" s="101">
        <v>178.7</v>
      </c>
      <c r="AH14" s="100">
        <v>215.20000000000002</v>
      </c>
      <c r="AI14" s="102">
        <v>232.1</v>
      </c>
      <c r="AJ14" s="507">
        <v>273.10000000000002</v>
      </c>
      <c r="AK14" s="101">
        <v>183</v>
      </c>
      <c r="AL14" s="100">
        <v>200.3</v>
      </c>
      <c r="AM14" s="102">
        <v>231.5</v>
      </c>
      <c r="AN14" s="507">
        <v>363.2</v>
      </c>
      <c r="AO14" s="101">
        <v>330</v>
      </c>
      <c r="AP14" s="100">
        <v>264.8</v>
      </c>
      <c r="AQ14" s="102"/>
      <c r="AR14" s="507"/>
      <c r="AS14" s="101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</row>
    <row r="15" spans="1:74" ht="20.25" customHeight="1">
      <c r="A15" s="85" t="s">
        <v>133</v>
      </c>
      <c r="B15" s="85" t="s">
        <v>134</v>
      </c>
      <c r="C15" s="94">
        <v>254.3</v>
      </c>
      <c r="D15" s="95">
        <v>160.19999999999999</v>
      </c>
      <c r="E15" s="96">
        <v>143.4</v>
      </c>
      <c r="F15" s="97">
        <v>302.3</v>
      </c>
      <c r="G15" s="98">
        <v>328.6</v>
      </c>
      <c r="H15" s="98">
        <v>104.5</v>
      </c>
      <c r="I15" s="96">
        <v>511.6</v>
      </c>
      <c r="J15" s="99">
        <v>133.80000000000001</v>
      </c>
      <c r="K15" s="98">
        <v>709.2</v>
      </c>
      <c r="L15" s="98">
        <v>476</v>
      </c>
      <c r="M15" s="96">
        <v>375.8</v>
      </c>
      <c r="N15" s="100">
        <v>210.7</v>
      </c>
      <c r="O15" s="98">
        <v>512.4</v>
      </c>
      <c r="P15" s="98">
        <v>467.3</v>
      </c>
      <c r="Q15" s="101">
        <v>542.6</v>
      </c>
      <c r="R15" s="100">
        <v>225.4</v>
      </c>
      <c r="S15" s="102">
        <v>505.6</v>
      </c>
      <c r="T15" s="102">
        <v>422.3</v>
      </c>
      <c r="U15" s="101" t="s">
        <v>92</v>
      </c>
      <c r="V15" s="100">
        <v>189.7</v>
      </c>
      <c r="W15" s="102">
        <v>390.3</v>
      </c>
      <c r="X15" s="102">
        <v>447.5</v>
      </c>
      <c r="Y15" s="101">
        <v>458.7</v>
      </c>
      <c r="Z15" s="100">
        <v>304.5</v>
      </c>
      <c r="AA15" s="102">
        <v>792.2</v>
      </c>
      <c r="AB15" s="102">
        <v>883.4</v>
      </c>
      <c r="AC15" s="101">
        <v>941.1</v>
      </c>
      <c r="AD15" s="100">
        <v>493.8</v>
      </c>
      <c r="AE15" s="102">
        <v>710.1</v>
      </c>
      <c r="AF15" s="507">
        <v>475.6</v>
      </c>
      <c r="AG15" s="101">
        <v>395.4</v>
      </c>
      <c r="AH15" s="100">
        <v>394.4</v>
      </c>
      <c r="AI15" s="102">
        <v>423.1</v>
      </c>
      <c r="AJ15" s="507">
        <v>570.29999999999995</v>
      </c>
      <c r="AK15" s="101">
        <v>266.5</v>
      </c>
      <c r="AL15" s="100">
        <v>395.5</v>
      </c>
      <c r="AM15" s="102">
        <v>343.4</v>
      </c>
      <c r="AN15" s="507">
        <v>686.4</v>
      </c>
      <c r="AO15" s="101">
        <v>461.2</v>
      </c>
      <c r="AP15" s="100">
        <v>450.4</v>
      </c>
      <c r="AQ15" s="102"/>
      <c r="AR15" s="507"/>
      <c r="AS15" s="101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</row>
    <row r="16" spans="1:74" ht="20.25" customHeight="1" thickBot="1">
      <c r="A16" s="169" t="s">
        <v>135</v>
      </c>
      <c r="B16" s="169" t="s">
        <v>136</v>
      </c>
      <c r="C16" s="170">
        <v>1261.1000000000001</v>
      </c>
      <c r="D16" s="171">
        <v>1397.2</v>
      </c>
      <c r="E16" s="172">
        <v>1373.8</v>
      </c>
      <c r="F16" s="173">
        <v>1861.8</v>
      </c>
      <c r="G16" s="174">
        <v>1989.8000000000002</v>
      </c>
      <c r="H16" s="174">
        <v>1739.8000000000002</v>
      </c>
      <c r="I16" s="172">
        <v>2215.8000000000002</v>
      </c>
      <c r="J16" s="175">
        <v>2120.7000000000003</v>
      </c>
      <c r="K16" s="174">
        <v>3026.8</v>
      </c>
      <c r="L16" s="174">
        <v>2870.7999999999997</v>
      </c>
      <c r="M16" s="172">
        <v>2658.5000000000005</v>
      </c>
      <c r="N16" s="176">
        <v>2908</v>
      </c>
      <c r="O16" s="177">
        <v>2876.9</v>
      </c>
      <c r="P16" s="178">
        <v>3042.8</v>
      </c>
      <c r="Q16" s="179">
        <v>2933.2</v>
      </c>
      <c r="R16" s="176">
        <v>2997.5</v>
      </c>
      <c r="S16" s="177">
        <v>2886.6</v>
      </c>
      <c r="T16" s="177">
        <v>-2738.8</v>
      </c>
      <c r="U16" s="179" t="s">
        <v>92</v>
      </c>
      <c r="V16" s="176">
        <v>3022.6999999999994</v>
      </c>
      <c r="W16" s="177">
        <v>2871.1000000000004</v>
      </c>
      <c r="X16" s="177">
        <v>3024.2</v>
      </c>
      <c r="Y16" s="179">
        <v>3061.4</v>
      </c>
      <c r="Z16" s="176">
        <v>3181.1000000000008</v>
      </c>
      <c r="AA16" s="177">
        <v>3724.7</v>
      </c>
      <c r="AB16" s="177">
        <v>4081.3</v>
      </c>
      <c r="AC16" s="179">
        <v>4106.9000000000005</v>
      </c>
      <c r="AD16" s="176">
        <v>3870.6999999999994</v>
      </c>
      <c r="AE16" s="177">
        <v>4145.5</v>
      </c>
      <c r="AF16" s="508">
        <v>4116.5</v>
      </c>
      <c r="AG16" s="179" t="s">
        <v>324</v>
      </c>
      <c r="AH16" s="176">
        <v>3735.2</v>
      </c>
      <c r="AI16" s="177">
        <v>3597.9</v>
      </c>
      <c r="AJ16" s="508">
        <v>4152</v>
      </c>
      <c r="AK16" s="179">
        <v>3580.8999999999996</v>
      </c>
      <c r="AL16" s="176">
        <v>4149.1000000000004</v>
      </c>
      <c r="AM16" s="177">
        <v>4409.3</v>
      </c>
      <c r="AN16" s="508">
        <v>5215.4999999999991</v>
      </c>
      <c r="AO16" s="179">
        <v>4706.2</v>
      </c>
      <c r="AP16" s="176">
        <v>5122.0999999999995</v>
      </c>
      <c r="AQ16" s="177"/>
      <c r="AR16" s="508"/>
      <c r="AS16" s="179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</row>
    <row r="17" spans="1:74" ht="20.25" customHeight="1" thickTop="1">
      <c r="A17" s="85" t="s">
        <v>137</v>
      </c>
      <c r="B17" s="85" t="s">
        <v>138</v>
      </c>
      <c r="C17" s="103">
        <v>0</v>
      </c>
      <c r="D17" s="104">
        <v>0</v>
      </c>
      <c r="E17" s="96">
        <v>0</v>
      </c>
      <c r="F17" s="97">
        <v>0</v>
      </c>
      <c r="G17" s="98">
        <v>0</v>
      </c>
      <c r="H17" s="98">
        <v>0</v>
      </c>
      <c r="I17" s="96">
        <v>0</v>
      </c>
      <c r="J17" s="99">
        <v>0</v>
      </c>
      <c r="K17" s="98">
        <v>0</v>
      </c>
      <c r="L17" s="98">
        <v>0</v>
      </c>
      <c r="M17" s="96">
        <v>503.4</v>
      </c>
      <c r="N17" s="100">
        <v>9.6</v>
      </c>
      <c r="O17" s="98">
        <v>0</v>
      </c>
      <c r="P17" s="98">
        <v>0</v>
      </c>
      <c r="Q17" s="101">
        <v>0</v>
      </c>
      <c r="R17" s="100">
        <v>0</v>
      </c>
      <c r="S17" s="102">
        <v>288.10000000000002</v>
      </c>
      <c r="T17" s="102">
        <v>3007.7000000000003</v>
      </c>
      <c r="U17" s="101" t="s">
        <v>92</v>
      </c>
      <c r="V17" s="100">
        <v>0</v>
      </c>
      <c r="W17" s="102">
        <v>264</v>
      </c>
      <c r="X17" s="102">
        <v>270.79999999999995</v>
      </c>
      <c r="Y17" s="101">
        <v>210.9</v>
      </c>
      <c r="Z17" s="100">
        <v>185.5</v>
      </c>
      <c r="AA17" s="102">
        <v>0</v>
      </c>
      <c r="AB17" s="102">
        <v>0</v>
      </c>
      <c r="AC17" s="101">
        <v>0</v>
      </c>
      <c r="AD17" s="100">
        <v>85.3</v>
      </c>
      <c r="AE17" s="102">
        <v>0</v>
      </c>
      <c r="AF17" s="507">
        <v>0</v>
      </c>
      <c r="AG17" s="101">
        <v>0</v>
      </c>
      <c r="AH17" s="100">
        <v>0</v>
      </c>
      <c r="AI17" s="102">
        <v>0</v>
      </c>
      <c r="AJ17" s="507">
        <v>24.6</v>
      </c>
      <c r="AK17" s="101">
        <v>24.6</v>
      </c>
      <c r="AL17" s="100">
        <v>10</v>
      </c>
      <c r="AM17" s="102">
        <v>0</v>
      </c>
      <c r="AN17" s="507"/>
      <c r="AO17" s="101"/>
      <c r="AP17" s="100"/>
      <c r="AQ17" s="102"/>
      <c r="AR17" s="507"/>
      <c r="AS17" s="101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20.25" customHeight="1" thickBot="1">
      <c r="A18" s="180" t="s">
        <v>139</v>
      </c>
      <c r="B18" s="180" t="s">
        <v>140</v>
      </c>
      <c r="C18" s="181">
        <v>2433.4</v>
      </c>
      <c r="D18" s="182">
        <v>2596.9</v>
      </c>
      <c r="E18" s="183">
        <v>2400.8999999999996</v>
      </c>
      <c r="F18" s="184">
        <v>2900.1</v>
      </c>
      <c r="G18" s="185">
        <v>3077.4</v>
      </c>
      <c r="H18" s="185">
        <v>2854.3</v>
      </c>
      <c r="I18" s="183">
        <v>3369.9000000000005</v>
      </c>
      <c r="J18" s="184">
        <v>5723</v>
      </c>
      <c r="K18" s="185">
        <v>6948.7000000000007</v>
      </c>
      <c r="L18" s="185">
        <v>6777.9</v>
      </c>
      <c r="M18" s="183">
        <v>6736</v>
      </c>
      <c r="N18" s="186">
        <v>6920.2999999999993</v>
      </c>
      <c r="O18" s="187">
        <v>7193.3</v>
      </c>
      <c r="P18" s="185">
        <v>7368.9</v>
      </c>
      <c r="Q18" s="188">
        <v>7143.7</v>
      </c>
      <c r="R18" s="186">
        <v>7214.7</v>
      </c>
      <c r="S18" s="187">
        <v>6742.7</v>
      </c>
      <c r="T18" s="189">
        <v>6798.2</v>
      </c>
      <c r="U18" s="188" t="s">
        <v>92</v>
      </c>
      <c r="V18" s="186">
        <v>7192.4</v>
      </c>
      <c r="W18" s="187">
        <v>6676.8000000000011</v>
      </c>
      <c r="X18" s="189">
        <v>6823.5</v>
      </c>
      <c r="Y18" s="188">
        <v>6647.4</v>
      </c>
      <c r="Z18" s="186">
        <v>6689.6000000000013</v>
      </c>
      <c r="AA18" s="187">
        <v>7046.1999999999989</v>
      </c>
      <c r="AB18" s="189">
        <v>7333</v>
      </c>
      <c r="AC18" s="188">
        <v>7500.7</v>
      </c>
      <c r="AD18" s="186">
        <v>7299.6999999999989</v>
      </c>
      <c r="AE18" s="187">
        <v>7584.5</v>
      </c>
      <c r="AF18" s="189">
        <v>7536.4</v>
      </c>
      <c r="AG18" s="188" t="s">
        <v>323</v>
      </c>
      <c r="AH18" s="186">
        <v>7344.7999999999993</v>
      </c>
      <c r="AI18" s="187">
        <v>7260.5</v>
      </c>
      <c r="AJ18" s="189">
        <v>7878.2</v>
      </c>
      <c r="AK18" s="188">
        <v>7346</v>
      </c>
      <c r="AL18" s="186">
        <v>7898.1</v>
      </c>
      <c r="AM18" s="187">
        <v>8350.0400000000009</v>
      </c>
      <c r="AN18" s="189">
        <v>9213.6999999999989</v>
      </c>
      <c r="AO18" s="188">
        <v>9051.9</v>
      </c>
      <c r="AP18" s="186">
        <v>9631.0299999999988</v>
      </c>
      <c r="AQ18" s="187"/>
      <c r="AR18" s="189"/>
      <c r="AS18" s="188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</row>
    <row r="19" spans="1:74" ht="20.25" customHeight="1" thickTop="1">
      <c r="A19" s="86"/>
      <c r="B19" s="86"/>
      <c r="C19" s="94"/>
      <c r="D19" s="95"/>
      <c r="E19" s="96"/>
      <c r="F19" s="97"/>
      <c r="G19" s="98"/>
      <c r="H19" s="98"/>
      <c r="I19" s="96"/>
      <c r="J19" s="99"/>
      <c r="K19" s="98"/>
      <c r="L19" s="98"/>
      <c r="M19" s="96"/>
      <c r="N19" s="100"/>
      <c r="O19" s="98"/>
      <c r="P19" s="98"/>
      <c r="Q19" s="101"/>
      <c r="R19" s="100"/>
      <c r="S19" s="102"/>
      <c r="T19" s="102"/>
      <c r="U19" s="101"/>
      <c r="V19" s="100"/>
      <c r="W19" s="102"/>
      <c r="X19" s="105"/>
      <c r="Y19" s="96"/>
      <c r="Z19" s="100"/>
      <c r="AA19" s="102"/>
      <c r="AB19" s="105"/>
      <c r="AC19" s="96"/>
      <c r="AD19" s="100"/>
      <c r="AE19" s="102"/>
      <c r="AF19" s="509"/>
      <c r="AG19" s="96"/>
      <c r="AH19" s="100"/>
      <c r="AI19" s="102"/>
      <c r="AJ19" s="509"/>
      <c r="AK19" s="96"/>
      <c r="AL19" s="100"/>
      <c r="AM19" s="102"/>
      <c r="AN19" s="509"/>
      <c r="AO19" s="96"/>
      <c r="AP19" s="100"/>
      <c r="AQ19" s="102"/>
      <c r="AR19" s="509"/>
      <c r="AS19" s="9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</row>
    <row r="20" spans="1:74" ht="20.25" customHeight="1">
      <c r="A20" s="88" t="s">
        <v>141</v>
      </c>
      <c r="B20" s="88" t="s">
        <v>142</v>
      </c>
      <c r="C20" s="94"/>
      <c r="D20" s="95"/>
      <c r="E20" s="96"/>
      <c r="F20" s="97"/>
      <c r="G20" s="98"/>
      <c r="H20" s="98"/>
      <c r="I20" s="96"/>
      <c r="J20" s="99"/>
      <c r="K20" s="98"/>
      <c r="L20" s="98"/>
      <c r="M20" s="96"/>
      <c r="N20" s="100"/>
      <c r="O20" s="98"/>
      <c r="P20" s="98"/>
      <c r="Q20" s="101"/>
      <c r="R20" s="100"/>
      <c r="S20" s="102"/>
      <c r="T20" s="102"/>
      <c r="U20" s="101"/>
      <c r="V20" s="100"/>
      <c r="W20" s="102"/>
      <c r="X20" s="105"/>
      <c r="Y20" s="96"/>
      <c r="Z20" s="100"/>
      <c r="AA20" s="102"/>
      <c r="AB20" s="105"/>
      <c r="AC20" s="96"/>
      <c r="AD20" s="100"/>
      <c r="AE20" s="102"/>
      <c r="AF20" s="509"/>
      <c r="AG20" s="96"/>
      <c r="AH20" s="100"/>
      <c r="AI20" s="102"/>
      <c r="AJ20" s="509"/>
      <c r="AK20" s="96"/>
      <c r="AL20" s="100"/>
      <c r="AM20" s="102"/>
      <c r="AN20" s="509"/>
      <c r="AO20" s="96"/>
      <c r="AP20" s="100"/>
      <c r="AQ20" s="102"/>
      <c r="AR20" s="509"/>
      <c r="AS20" s="9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</row>
    <row r="21" spans="1:74" ht="20.25" customHeight="1">
      <c r="A21" s="85" t="s">
        <v>310</v>
      </c>
      <c r="B21" s="85" t="s">
        <v>219</v>
      </c>
      <c r="C21" s="94">
        <v>366</v>
      </c>
      <c r="D21" s="95">
        <v>366</v>
      </c>
      <c r="E21" s="96">
        <v>366</v>
      </c>
      <c r="F21" s="99">
        <v>436</v>
      </c>
      <c r="G21" s="98">
        <v>436</v>
      </c>
      <c r="H21" s="98">
        <v>436</v>
      </c>
      <c r="I21" s="96">
        <v>436</v>
      </c>
      <c r="J21" s="99">
        <v>436</v>
      </c>
      <c r="K21" s="98">
        <v>210</v>
      </c>
      <c r="L21" s="98">
        <v>210</v>
      </c>
      <c r="M21" s="96">
        <v>210</v>
      </c>
      <c r="N21" s="100">
        <v>210</v>
      </c>
      <c r="O21" s="102">
        <v>311</v>
      </c>
      <c r="P21" s="105">
        <v>311</v>
      </c>
      <c r="Q21" s="101">
        <v>683</v>
      </c>
      <c r="R21" s="100">
        <v>583.29999999999995</v>
      </c>
      <c r="S21" s="102">
        <v>310.5</v>
      </c>
      <c r="T21" s="105">
        <v>305.3</v>
      </c>
      <c r="U21" s="101" t="s">
        <v>92</v>
      </c>
      <c r="V21" s="100">
        <v>555.79999999999995</v>
      </c>
      <c r="W21" s="102">
        <v>319.60000000000002</v>
      </c>
      <c r="X21" s="105">
        <v>253.6</v>
      </c>
      <c r="Y21" s="101">
        <v>472.7</v>
      </c>
      <c r="Z21" s="100">
        <v>445</v>
      </c>
      <c r="AA21" s="102">
        <v>1451.1</v>
      </c>
      <c r="AB21" s="105">
        <v>2010.4</v>
      </c>
      <c r="AC21" s="101">
        <v>1914.6</v>
      </c>
      <c r="AD21" s="100">
        <v>1869.5</v>
      </c>
      <c r="AE21" s="102">
        <v>1230.5</v>
      </c>
      <c r="AF21" s="509">
        <v>1474.3</v>
      </c>
      <c r="AG21" s="101" t="s">
        <v>327</v>
      </c>
      <c r="AH21" s="100">
        <v>1199.3</v>
      </c>
      <c r="AI21" s="102">
        <v>999.6</v>
      </c>
      <c r="AJ21" s="509">
        <v>734.3</v>
      </c>
      <c r="AK21" s="101">
        <v>676.6</v>
      </c>
      <c r="AL21" s="100">
        <v>619.5</v>
      </c>
      <c r="AM21" s="102">
        <v>1270.8</v>
      </c>
      <c r="AN21" s="509">
        <v>1100.0999999999999</v>
      </c>
      <c r="AO21" s="101">
        <v>1572</v>
      </c>
      <c r="AP21" s="100">
        <v>962.4</v>
      </c>
      <c r="AQ21" s="102"/>
      <c r="AR21" s="509"/>
      <c r="AS21" s="101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</row>
    <row r="22" spans="1:74" ht="20.25" customHeight="1">
      <c r="A22" s="85" t="s">
        <v>143</v>
      </c>
      <c r="B22" s="85" t="s">
        <v>220</v>
      </c>
      <c r="C22" s="94" t="s">
        <v>28</v>
      </c>
      <c r="D22" s="95" t="s">
        <v>28</v>
      </c>
      <c r="E22" s="96">
        <v>229.6</v>
      </c>
      <c r="F22" s="99">
        <v>231.4</v>
      </c>
      <c r="G22" s="98">
        <v>233.3</v>
      </c>
      <c r="H22" s="98">
        <v>235.3</v>
      </c>
      <c r="I22" s="96">
        <v>777.9</v>
      </c>
      <c r="J22" s="99">
        <v>784.2</v>
      </c>
      <c r="K22" s="98">
        <v>844.4</v>
      </c>
      <c r="L22" s="98">
        <v>840.2</v>
      </c>
      <c r="M22" s="96">
        <v>878.7</v>
      </c>
      <c r="N22" s="100">
        <v>885.5</v>
      </c>
      <c r="O22" s="102">
        <v>892.9</v>
      </c>
      <c r="P22" s="105">
        <v>900.3</v>
      </c>
      <c r="Q22" s="101">
        <v>801.1</v>
      </c>
      <c r="R22" s="100">
        <v>800.6</v>
      </c>
      <c r="S22" s="102">
        <v>784.3</v>
      </c>
      <c r="T22" s="105">
        <v>790.7</v>
      </c>
      <c r="U22" s="101" t="s">
        <v>92</v>
      </c>
      <c r="V22" s="100">
        <v>803</v>
      </c>
      <c r="W22" s="102">
        <v>786.4</v>
      </c>
      <c r="X22" s="105">
        <v>792.9</v>
      </c>
      <c r="Y22" s="101">
        <v>828.6</v>
      </c>
      <c r="Z22" s="100">
        <v>86</v>
      </c>
      <c r="AA22" s="102">
        <v>86.800000000000011</v>
      </c>
      <c r="AB22" s="105">
        <v>84.6</v>
      </c>
      <c r="AC22" s="101">
        <v>64.8</v>
      </c>
      <c r="AD22" s="100">
        <v>65.5</v>
      </c>
      <c r="AE22" s="102">
        <v>60.1</v>
      </c>
      <c r="AF22" s="509">
        <v>60.7</v>
      </c>
      <c r="AG22" s="101">
        <v>31.1</v>
      </c>
      <c r="AH22" s="100">
        <v>31.8</v>
      </c>
      <c r="AI22" s="102">
        <v>10.5</v>
      </c>
      <c r="AJ22" s="509">
        <v>0</v>
      </c>
      <c r="AK22" s="101">
        <v>0</v>
      </c>
      <c r="AL22" s="100">
        <v>0</v>
      </c>
      <c r="AM22" s="102">
        <v>0</v>
      </c>
      <c r="AN22" s="509"/>
      <c r="AO22" s="101"/>
      <c r="AP22" s="100"/>
      <c r="AQ22" s="102"/>
      <c r="AR22" s="509"/>
      <c r="AS22" s="101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</row>
    <row r="23" spans="1:74" ht="20.25" customHeight="1">
      <c r="A23" s="85" t="s">
        <v>144</v>
      </c>
      <c r="B23" s="85" t="s">
        <v>145</v>
      </c>
      <c r="C23" s="94" t="s">
        <v>28</v>
      </c>
      <c r="D23" s="95" t="s">
        <v>28</v>
      </c>
      <c r="E23" s="96" t="s">
        <v>28</v>
      </c>
      <c r="F23" s="99" t="s">
        <v>28</v>
      </c>
      <c r="G23" s="98" t="s">
        <v>28</v>
      </c>
      <c r="H23" s="98" t="s">
        <v>28</v>
      </c>
      <c r="I23" s="96" t="s">
        <v>28</v>
      </c>
      <c r="J23" s="99">
        <v>2418.9</v>
      </c>
      <c r="K23" s="98">
        <v>1971.2</v>
      </c>
      <c r="L23" s="98">
        <v>1865.1</v>
      </c>
      <c r="M23" s="96">
        <v>1484</v>
      </c>
      <c r="N23" s="100">
        <v>1446</v>
      </c>
      <c r="O23" s="102">
        <v>1630</v>
      </c>
      <c r="P23" s="105">
        <v>1599</v>
      </c>
      <c r="Q23" s="101">
        <v>1528.6</v>
      </c>
      <c r="R23" s="100">
        <v>1522.9</v>
      </c>
      <c r="S23" s="102">
        <v>1446.9</v>
      </c>
      <c r="T23" s="105">
        <v>1457.6999999999998</v>
      </c>
      <c r="U23" s="101" t="s">
        <v>92</v>
      </c>
      <c r="V23" s="100">
        <v>1526.6</v>
      </c>
      <c r="W23" s="102">
        <v>1435.1</v>
      </c>
      <c r="X23" s="105">
        <v>1487.3</v>
      </c>
      <c r="Y23" s="101">
        <v>1415.4</v>
      </c>
      <c r="Z23" s="100">
        <v>1351.8</v>
      </c>
      <c r="AA23" s="102">
        <v>1288.7</v>
      </c>
      <c r="AB23" s="105">
        <v>1213</v>
      </c>
      <c r="AC23" s="101">
        <v>1303.9000000000001</v>
      </c>
      <c r="AD23" s="100">
        <v>1224.5</v>
      </c>
      <c r="AE23" s="102">
        <v>1275.5999999999999</v>
      </c>
      <c r="AF23" s="509">
        <v>1205.5</v>
      </c>
      <c r="AG23" s="101" t="s">
        <v>325</v>
      </c>
      <c r="AH23" s="100">
        <v>1203.4000000000001</v>
      </c>
      <c r="AI23" s="102">
        <v>1196.8</v>
      </c>
      <c r="AJ23" s="509">
        <v>1251.8</v>
      </c>
      <c r="AK23" s="101">
        <v>1213.2</v>
      </c>
      <c r="AL23" s="100">
        <v>1201</v>
      </c>
      <c r="AM23" s="102">
        <v>1219.5999999999999</v>
      </c>
      <c r="AN23" s="509">
        <v>1255.2</v>
      </c>
      <c r="AO23" s="101">
        <v>1406.4</v>
      </c>
      <c r="AP23" s="100">
        <v>1449.5</v>
      </c>
      <c r="AQ23" s="102"/>
      <c r="AR23" s="509"/>
      <c r="AS23" s="101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</row>
    <row r="24" spans="1:74" ht="20.25" customHeight="1" thickBot="1">
      <c r="A24" s="190" t="s">
        <v>146</v>
      </c>
      <c r="B24" s="190" t="s">
        <v>147</v>
      </c>
      <c r="C24" s="170">
        <v>399</v>
      </c>
      <c r="D24" s="171">
        <v>398.2</v>
      </c>
      <c r="E24" s="172">
        <v>660.4</v>
      </c>
      <c r="F24" s="175">
        <v>732.1</v>
      </c>
      <c r="G24" s="174">
        <v>732.3</v>
      </c>
      <c r="H24" s="174">
        <v>732.8</v>
      </c>
      <c r="I24" s="172">
        <v>1277.8</v>
      </c>
      <c r="J24" s="175">
        <v>3703.7</v>
      </c>
      <c r="K24" s="174">
        <v>3103.6000000000004</v>
      </c>
      <c r="L24" s="174">
        <v>2993.7</v>
      </c>
      <c r="M24" s="172">
        <v>2650.9</v>
      </c>
      <c r="N24" s="176">
        <v>2616</v>
      </c>
      <c r="O24" s="177">
        <v>2916.5</v>
      </c>
      <c r="P24" s="191">
        <v>2892.9</v>
      </c>
      <c r="Q24" s="179">
        <v>3095.8</v>
      </c>
      <c r="R24" s="176">
        <v>2978.3</v>
      </c>
      <c r="S24" s="177">
        <v>2609.5</v>
      </c>
      <c r="T24" s="191">
        <v>2620.2999999999997</v>
      </c>
      <c r="U24" s="179" t="s">
        <v>92</v>
      </c>
      <c r="V24" s="176">
        <v>2960.2</v>
      </c>
      <c r="W24" s="177">
        <v>2607.2999999999997</v>
      </c>
      <c r="X24" s="191">
        <v>2599.6</v>
      </c>
      <c r="Y24" s="179">
        <v>2785.4</v>
      </c>
      <c r="Z24" s="176">
        <v>1952.4</v>
      </c>
      <c r="AA24" s="177">
        <v>2911.5999999999995</v>
      </c>
      <c r="AB24" s="191"/>
      <c r="AC24" s="179">
        <v>3410.2000000000003</v>
      </c>
      <c r="AD24" s="176">
        <v>3288</v>
      </c>
      <c r="AE24" s="177">
        <v>2648.7</v>
      </c>
      <c r="AF24" s="510">
        <v>2821.4</v>
      </c>
      <c r="AG24" s="179" t="s">
        <v>321</v>
      </c>
      <c r="AH24" s="176">
        <v>2507.5</v>
      </c>
      <c r="AI24" s="177">
        <v>2275.8000000000002</v>
      </c>
      <c r="AJ24" s="510">
        <v>2053.8999999999996</v>
      </c>
      <c r="AK24" s="179">
        <v>1959.3</v>
      </c>
      <c r="AL24" s="176">
        <v>1888.9</v>
      </c>
      <c r="AM24" s="177">
        <v>2567.4999999999995</v>
      </c>
      <c r="AN24" s="510">
        <v>2448.1999999999998</v>
      </c>
      <c r="AO24" s="179">
        <v>3057.9</v>
      </c>
      <c r="AP24" s="176">
        <v>2493</v>
      </c>
      <c r="AQ24" s="177"/>
      <c r="AR24" s="510"/>
      <c r="AS24" s="179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</row>
    <row r="25" spans="1:74" ht="20.25" customHeight="1" thickTop="1">
      <c r="A25" s="85" t="s">
        <v>310</v>
      </c>
      <c r="B25" s="85" t="s">
        <v>219</v>
      </c>
      <c r="C25" s="94">
        <v>562.5</v>
      </c>
      <c r="D25" s="95">
        <v>735.1</v>
      </c>
      <c r="E25" s="96">
        <v>429.5</v>
      </c>
      <c r="F25" s="99">
        <v>854.5</v>
      </c>
      <c r="G25" s="98">
        <v>797.3</v>
      </c>
      <c r="H25" s="98">
        <v>807.9</v>
      </c>
      <c r="I25" s="96">
        <v>481.1</v>
      </c>
      <c r="J25" s="99">
        <v>530.70000000000005</v>
      </c>
      <c r="K25" s="98">
        <v>1046.4000000000001</v>
      </c>
      <c r="L25" s="98">
        <v>929.2</v>
      </c>
      <c r="M25" s="96">
        <v>806.8</v>
      </c>
      <c r="N25" s="100">
        <v>1242.7</v>
      </c>
      <c r="O25" s="102">
        <v>1125.8</v>
      </c>
      <c r="P25" s="105">
        <v>1268</v>
      </c>
      <c r="Q25" s="101">
        <v>830.4</v>
      </c>
      <c r="R25" s="100">
        <v>1081.2</v>
      </c>
      <c r="S25" s="102">
        <v>1277.9000000000001</v>
      </c>
      <c r="T25" s="105">
        <v>1251.5999999999999</v>
      </c>
      <c r="U25" s="101" t="s">
        <v>92</v>
      </c>
      <c r="V25" s="100">
        <v>1148.3</v>
      </c>
      <c r="W25" s="102">
        <v>1239</v>
      </c>
      <c r="X25" s="105">
        <v>1199.5999999999999</v>
      </c>
      <c r="Y25" s="101">
        <v>1196.9000000000001</v>
      </c>
      <c r="Z25" s="100">
        <v>1262</v>
      </c>
      <c r="AA25" s="102">
        <v>269.2</v>
      </c>
      <c r="AB25" s="105">
        <v>410.8</v>
      </c>
      <c r="AC25" s="101">
        <v>545</v>
      </c>
      <c r="AD25" s="100">
        <v>570.9</v>
      </c>
      <c r="AE25" s="102">
        <v>1335.1</v>
      </c>
      <c r="AF25" s="509">
        <v>1086.7</v>
      </c>
      <c r="AG25" s="101" t="s">
        <v>328</v>
      </c>
      <c r="AH25" s="100">
        <v>1066.0999999999999</v>
      </c>
      <c r="AI25" s="102">
        <v>1084.4000000000001</v>
      </c>
      <c r="AJ25" s="509">
        <v>1444.4</v>
      </c>
      <c r="AK25" s="101">
        <v>1418.8</v>
      </c>
      <c r="AL25" s="100">
        <v>1619.7</v>
      </c>
      <c r="AM25" s="102">
        <v>1164</v>
      </c>
      <c r="AN25" s="509">
        <v>1244.8</v>
      </c>
      <c r="AO25" s="101">
        <v>324.7</v>
      </c>
      <c r="AP25" s="100">
        <v>1036.2</v>
      </c>
      <c r="AQ25" s="102"/>
      <c r="AR25" s="509"/>
      <c r="AS25" s="101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</row>
    <row r="26" spans="1:74" ht="20.25" customHeight="1">
      <c r="A26" s="85" t="s">
        <v>221</v>
      </c>
      <c r="B26" s="85" t="s">
        <v>222</v>
      </c>
      <c r="C26" s="94">
        <v>91.2</v>
      </c>
      <c r="D26" s="95">
        <v>111.3</v>
      </c>
      <c r="E26" s="96">
        <v>174.3</v>
      </c>
      <c r="F26" s="99">
        <v>264</v>
      </c>
      <c r="G26" s="98">
        <v>291.8</v>
      </c>
      <c r="H26" s="98">
        <v>103.6</v>
      </c>
      <c r="I26" s="96">
        <v>235.8</v>
      </c>
      <c r="J26" s="99">
        <v>327.5</v>
      </c>
      <c r="K26" s="98">
        <v>763.8</v>
      </c>
      <c r="L26" s="98">
        <v>852.7</v>
      </c>
      <c r="M26" s="96">
        <v>864.2</v>
      </c>
      <c r="N26" s="100">
        <v>1008.5</v>
      </c>
      <c r="O26" s="102">
        <v>1132.5999999999999</v>
      </c>
      <c r="P26" s="105">
        <v>1301.9000000000001</v>
      </c>
      <c r="Q26" s="101">
        <v>1158.2</v>
      </c>
      <c r="R26" s="100">
        <v>1426.9</v>
      </c>
      <c r="S26" s="102">
        <v>935.9</v>
      </c>
      <c r="T26" s="105">
        <v>1157.4000000000001</v>
      </c>
      <c r="U26" s="101" t="s">
        <v>92</v>
      </c>
      <c r="V26" s="100">
        <v>1557.7</v>
      </c>
      <c r="W26" s="102">
        <v>1002.7</v>
      </c>
      <c r="X26" s="105">
        <v>1202.3000000000002</v>
      </c>
      <c r="Y26" s="101">
        <v>1269.3</v>
      </c>
      <c r="Z26" s="100">
        <v>1433.5</v>
      </c>
      <c r="AA26" s="102">
        <v>1325.3</v>
      </c>
      <c r="AB26" s="105">
        <v>1276.5</v>
      </c>
      <c r="AC26" s="101">
        <v>1480.1</v>
      </c>
      <c r="AD26" s="100">
        <v>1475.1</v>
      </c>
      <c r="AE26" s="102">
        <v>1642.4</v>
      </c>
      <c r="AF26" s="509">
        <v>1760.6</v>
      </c>
      <c r="AG26" s="101" t="s">
        <v>326</v>
      </c>
      <c r="AH26" s="100">
        <v>1899.7</v>
      </c>
      <c r="AI26" s="102">
        <v>1808.8</v>
      </c>
      <c r="AJ26" s="509">
        <v>2180.6999999999998</v>
      </c>
      <c r="AK26" s="101">
        <v>1820.2</v>
      </c>
      <c r="AL26" s="100">
        <v>2078.4</v>
      </c>
      <c r="AM26" s="102">
        <v>2125.9</v>
      </c>
      <c r="AN26" s="509">
        <v>2704.4</v>
      </c>
      <c r="AO26" s="101">
        <v>2515.8000000000002</v>
      </c>
      <c r="AP26" s="100">
        <v>2585.1999999999998</v>
      </c>
      <c r="AQ26" s="102"/>
      <c r="AR26" s="509"/>
      <c r="AS26" s="101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</row>
    <row r="27" spans="1:74" ht="20.25" customHeight="1">
      <c r="A27" s="85" t="s">
        <v>148</v>
      </c>
      <c r="B27" s="85" t="s">
        <v>149</v>
      </c>
      <c r="C27" s="94">
        <v>181</v>
      </c>
      <c r="D27" s="95">
        <v>99.8</v>
      </c>
      <c r="E27" s="96">
        <v>137.6</v>
      </c>
      <c r="F27" s="99">
        <v>68.099999999999994</v>
      </c>
      <c r="G27" s="98">
        <v>254.2</v>
      </c>
      <c r="H27" s="98">
        <v>148.5</v>
      </c>
      <c r="I27" s="96">
        <v>166.6</v>
      </c>
      <c r="J27" s="99">
        <v>99.5</v>
      </c>
      <c r="K27" s="98">
        <v>300.2</v>
      </c>
      <c r="L27" s="98">
        <v>317.10000000000002</v>
      </c>
      <c r="M27" s="96">
        <v>274.3</v>
      </c>
      <c r="N27" s="100">
        <v>486.5</v>
      </c>
      <c r="O27" s="102">
        <v>448.4</v>
      </c>
      <c r="P27" s="105">
        <v>355</v>
      </c>
      <c r="Q27" s="101">
        <v>378</v>
      </c>
      <c r="R27" s="100">
        <v>302.7</v>
      </c>
      <c r="S27" s="102">
        <v>485.8</v>
      </c>
      <c r="T27" s="105">
        <v>438.40000000000003</v>
      </c>
      <c r="U27" s="101" t="s">
        <v>92</v>
      </c>
      <c r="V27" s="100">
        <v>317.89999999999998</v>
      </c>
      <c r="W27" s="102">
        <v>428.4</v>
      </c>
      <c r="X27" s="105">
        <v>452.5</v>
      </c>
      <c r="Y27" s="101">
        <v>386.2</v>
      </c>
      <c r="Z27" s="100">
        <v>431.3</v>
      </c>
      <c r="AA27" s="102">
        <v>405.9</v>
      </c>
      <c r="AB27" s="105">
        <v>444.1</v>
      </c>
      <c r="AC27" s="101">
        <v>375.90000000000003</v>
      </c>
      <c r="AD27" s="100">
        <v>435.3</v>
      </c>
      <c r="AE27" s="102">
        <v>512.20000000000005</v>
      </c>
      <c r="AF27" s="509">
        <v>498.3</v>
      </c>
      <c r="AG27" s="101">
        <v>470.4</v>
      </c>
      <c r="AH27" s="100">
        <v>481</v>
      </c>
      <c r="AI27" s="102">
        <v>445.7</v>
      </c>
      <c r="AJ27" s="509">
        <v>525.09999999999991</v>
      </c>
      <c r="AK27" s="101">
        <v>462.70000000000005</v>
      </c>
      <c r="AL27" s="100">
        <v>543.20000000000005</v>
      </c>
      <c r="AM27" s="102">
        <v>473.5</v>
      </c>
      <c r="AN27" s="509">
        <v>614.4</v>
      </c>
      <c r="AO27" s="101">
        <v>492.2</v>
      </c>
      <c r="AP27" s="100">
        <v>426.93</v>
      </c>
      <c r="AQ27" s="102"/>
      <c r="AR27" s="509"/>
      <c r="AS27" s="101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</row>
    <row r="28" spans="1:74" ht="20.25" customHeight="1">
      <c r="A28" s="85" t="s">
        <v>144</v>
      </c>
      <c r="B28" s="85" t="s">
        <v>145</v>
      </c>
      <c r="C28" s="94">
        <v>0</v>
      </c>
      <c r="D28" s="95" t="s">
        <v>28</v>
      </c>
      <c r="E28" s="96" t="s">
        <v>28</v>
      </c>
      <c r="F28" s="99" t="s">
        <v>28</v>
      </c>
      <c r="G28" s="98" t="s">
        <v>28</v>
      </c>
      <c r="H28" s="98" t="s">
        <v>28</v>
      </c>
      <c r="I28" s="96" t="s">
        <v>28</v>
      </c>
      <c r="J28" s="99" t="s">
        <v>28</v>
      </c>
      <c r="K28" s="98">
        <v>519.70000000000005</v>
      </c>
      <c r="L28" s="98">
        <v>522.5</v>
      </c>
      <c r="M28" s="96">
        <v>425.2</v>
      </c>
      <c r="N28" s="100">
        <v>461.4</v>
      </c>
      <c r="O28" s="102">
        <v>511.3</v>
      </c>
      <c r="P28" s="105">
        <v>525.6</v>
      </c>
      <c r="Q28" s="101">
        <v>557.20000000000005</v>
      </c>
      <c r="R28" s="100">
        <v>618.5</v>
      </c>
      <c r="S28" s="102">
        <v>440.1</v>
      </c>
      <c r="T28" s="105">
        <v>419.5</v>
      </c>
      <c r="U28" s="101" t="s">
        <v>92</v>
      </c>
      <c r="V28" s="100">
        <v>580.20000000000005</v>
      </c>
      <c r="W28" s="102">
        <v>411.1</v>
      </c>
      <c r="X28" s="105">
        <v>427.79999999999995</v>
      </c>
      <c r="Y28" s="101">
        <v>450.5</v>
      </c>
      <c r="Z28" s="100">
        <v>492.29999999999995</v>
      </c>
      <c r="AA28" s="102">
        <v>474.9</v>
      </c>
      <c r="AB28" s="105">
        <v>430.5</v>
      </c>
      <c r="AC28" s="101">
        <v>491.6</v>
      </c>
      <c r="AD28" s="100">
        <v>458</v>
      </c>
      <c r="AE28" s="102">
        <v>471.4</v>
      </c>
      <c r="AF28" s="509">
        <v>467.2</v>
      </c>
      <c r="AG28" s="101">
        <v>512.9</v>
      </c>
      <c r="AH28" s="100">
        <v>512.5</v>
      </c>
      <c r="AI28" s="102">
        <v>502.1</v>
      </c>
      <c r="AJ28" s="509">
        <v>525.79999999999995</v>
      </c>
      <c r="AK28" s="101">
        <v>519</v>
      </c>
      <c r="AL28" s="100">
        <v>524.20000000000005</v>
      </c>
      <c r="AM28" s="102">
        <v>517.1</v>
      </c>
      <c r="AN28" s="509">
        <v>545.79999999999995</v>
      </c>
      <c r="AO28" s="101">
        <v>585.5</v>
      </c>
      <c r="AP28" s="100">
        <v>582.1</v>
      </c>
      <c r="AQ28" s="102"/>
      <c r="AR28" s="509"/>
      <c r="AS28" s="101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</row>
    <row r="29" spans="1:74" ht="20.25" customHeight="1" thickBot="1">
      <c r="A29" s="190" t="s">
        <v>150</v>
      </c>
      <c r="B29" s="190" t="s">
        <v>151</v>
      </c>
      <c r="C29" s="170">
        <v>1083.4000000000001</v>
      </c>
      <c r="D29" s="171">
        <v>1191.5999999999999</v>
      </c>
      <c r="E29" s="172">
        <v>769.39999999999986</v>
      </c>
      <c r="F29" s="175">
        <v>1226.7</v>
      </c>
      <c r="G29" s="174">
        <v>1361.3999999999999</v>
      </c>
      <c r="H29" s="174">
        <v>1095.5000000000002</v>
      </c>
      <c r="I29" s="172">
        <v>923.80000000000007</v>
      </c>
      <c r="J29" s="175">
        <v>984.20000000000016</v>
      </c>
      <c r="K29" s="174">
        <v>2678.8</v>
      </c>
      <c r="L29" s="174">
        <v>2657.6000000000004</v>
      </c>
      <c r="M29" s="172">
        <v>2419.1000000000004</v>
      </c>
      <c r="N29" s="176">
        <v>3246.6</v>
      </c>
      <c r="O29" s="177">
        <v>3254.8</v>
      </c>
      <c r="P29" s="191">
        <v>3495.2</v>
      </c>
      <c r="Q29" s="179">
        <v>2958.3</v>
      </c>
      <c r="R29" s="176">
        <v>3486.3000000000006</v>
      </c>
      <c r="S29" s="177">
        <v>3178.3</v>
      </c>
      <c r="T29" s="191">
        <v>3022.5999999999995</v>
      </c>
      <c r="U29" s="179" t="s">
        <v>92</v>
      </c>
      <c r="V29" s="176">
        <v>3634.3999999999996</v>
      </c>
      <c r="W29" s="177">
        <v>3118.2999999999997</v>
      </c>
      <c r="X29" s="191">
        <v>3313.8999999999996</v>
      </c>
      <c r="Y29" s="179">
        <v>3346.5</v>
      </c>
      <c r="Z29" s="176">
        <v>3669.2</v>
      </c>
      <c r="AA29" s="177">
        <v>3365.3000000000006</v>
      </c>
      <c r="AB29" s="191">
        <v>2610</v>
      </c>
      <c r="AC29" s="179">
        <v>2938.8999999999996</v>
      </c>
      <c r="AD29" s="176">
        <v>2989.2</v>
      </c>
      <c r="AE29" s="177">
        <v>512.20000000000005</v>
      </c>
      <c r="AF29" s="510">
        <v>3857.4000000000005</v>
      </c>
      <c r="AG29" s="179" t="s">
        <v>322</v>
      </c>
      <c r="AH29" s="176">
        <v>4188.5</v>
      </c>
      <c r="AI29" s="177">
        <v>4045.2</v>
      </c>
      <c r="AJ29" s="510">
        <v>4891.3</v>
      </c>
      <c r="AK29" s="179">
        <v>4433.2</v>
      </c>
      <c r="AL29" s="176">
        <v>5005.8999999999996</v>
      </c>
      <c r="AM29" s="177">
        <v>4539.5</v>
      </c>
      <c r="AN29" s="510">
        <v>5366.8</v>
      </c>
      <c r="AO29" s="179">
        <v>4058.1</v>
      </c>
      <c r="AP29" s="176">
        <v>4814.83</v>
      </c>
      <c r="AQ29" s="177"/>
      <c r="AR29" s="510"/>
      <c r="AS29" s="179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ht="20.25" customHeight="1" thickTop="1">
      <c r="A30" s="85" t="s">
        <v>152</v>
      </c>
      <c r="B30" s="85" t="s">
        <v>153</v>
      </c>
      <c r="C30" s="94">
        <v>0</v>
      </c>
      <c r="D30" s="95">
        <v>0</v>
      </c>
      <c r="E30" s="96">
        <v>0</v>
      </c>
      <c r="F30" s="99">
        <v>0</v>
      </c>
      <c r="G30" s="98">
        <v>0</v>
      </c>
      <c r="H30" s="98">
        <v>0</v>
      </c>
      <c r="I30" s="96">
        <v>0</v>
      </c>
      <c r="J30" s="99">
        <v>0</v>
      </c>
      <c r="K30" s="98">
        <v>0</v>
      </c>
      <c r="L30" s="98">
        <v>0</v>
      </c>
      <c r="M30" s="96">
        <v>518.20000000000005</v>
      </c>
      <c r="N30" s="100">
        <v>65.8</v>
      </c>
      <c r="O30" s="102">
        <v>0</v>
      </c>
      <c r="P30" s="105">
        <v>0</v>
      </c>
      <c r="Q30" s="101">
        <v>0</v>
      </c>
      <c r="R30" s="100">
        <v>0</v>
      </c>
      <c r="S30" s="102">
        <v>300.3</v>
      </c>
      <c r="T30" s="105">
        <v>278.3</v>
      </c>
      <c r="U30" s="101" t="s">
        <v>92</v>
      </c>
      <c r="V30" s="100">
        <v>0</v>
      </c>
      <c r="W30" s="102">
        <v>281.60000000000002</v>
      </c>
      <c r="X30" s="105">
        <v>276.8</v>
      </c>
      <c r="Y30" s="101">
        <v>205.7</v>
      </c>
      <c r="Z30" s="100">
        <v>184.8</v>
      </c>
      <c r="AA30" s="102">
        <f>0</f>
        <v>0</v>
      </c>
      <c r="AB30" s="105">
        <v>0</v>
      </c>
      <c r="AC30" s="101">
        <v>0</v>
      </c>
      <c r="AD30" s="100">
        <v>65.8</v>
      </c>
      <c r="AE30" s="102">
        <v>0</v>
      </c>
      <c r="AF30" s="509">
        <v>0</v>
      </c>
      <c r="AG30" s="101">
        <v>0</v>
      </c>
      <c r="AH30" s="100">
        <v>0</v>
      </c>
      <c r="AI30" s="102">
        <v>0</v>
      </c>
      <c r="AJ30" s="509">
        <v>0</v>
      </c>
      <c r="AK30" s="101">
        <v>0</v>
      </c>
      <c r="AL30" s="100">
        <v>0</v>
      </c>
      <c r="AM30" s="102"/>
      <c r="AN30" s="509"/>
      <c r="AO30" s="101"/>
      <c r="AP30" s="100"/>
      <c r="AQ30" s="102"/>
      <c r="AR30" s="509"/>
      <c r="AS30" s="101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</row>
    <row r="31" spans="1:74" ht="20.25" customHeight="1" thickBot="1">
      <c r="A31" s="190" t="s">
        <v>154</v>
      </c>
      <c r="B31" s="190" t="s">
        <v>155</v>
      </c>
      <c r="C31" s="170">
        <v>1482.4</v>
      </c>
      <c r="D31" s="171">
        <v>1589.8</v>
      </c>
      <c r="E31" s="172">
        <v>1429.7999999999997</v>
      </c>
      <c r="F31" s="175">
        <v>1958.8000000000002</v>
      </c>
      <c r="G31" s="174">
        <v>2093.6999999999998</v>
      </c>
      <c r="H31" s="174">
        <v>1828.3000000000002</v>
      </c>
      <c r="I31" s="172">
        <v>2201.6</v>
      </c>
      <c r="J31" s="175">
        <v>4687.8999999999996</v>
      </c>
      <c r="K31" s="174">
        <v>5782.4000000000005</v>
      </c>
      <c r="L31" s="174">
        <v>5651.3</v>
      </c>
      <c r="M31" s="172">
        <v>5588.2000000000007</v>
      </c>
      <c r="N31" s="176">
        <v>5928.4</v>
      </c>
      <c r="O31" s="177">
        <v>6171.3</v>
      </c>
      <c r="P31" s="191">
        <v>6388.1</v>
      </c>
      <c r="Q31" s="179">
        <v>6054.1</v>
      </c>
      <c r="R31" s="176">
        <v>6464.6</v>
      </c>
      <c r="S31" s="177">
        <v>6088.1</v>
      </c>
      <c r="T31" s="191">
        <v>6199.4999999999991</v>
      </c>
      <c r="U31" s="179" t="s">
        <v>92</v>
      </c>
      <c r="V31" s="176">
        <v>6594.5999999999995</v>
      </c>
      <c r="W31" s="177">
        <v>6007.1999999999989</v>
      </c>
      <c r="X31" s="191">
        <v>6190.2999999999993</v>
      </c>
      <c r="Y31" s="179">
        <v>6337.6</v>
      </c>
      <c r="Z31" s="176">
        <v>5806.4000000000005</v>
      </c>
      <c r="AA31" s="177">
        <v>6276.9</v>
      </c>
      <c r="AB31" s="191">
        <v>6032.2999999999993</v>
      </c>
      <c r="AC31" s="179">
        <v>6349.1</v>
      </c>
      <c r="AD31" s="176">
        <v>6343</v>
      </c>
      <c r="AE31" s="177">
        <v>6653.8</v>
      </c>
      <c r="AF31" s="510">
        <v>6678.8000000000011</v>
      </c>
      <c r="AG31" s="179" t="s">
        <v>320</v>
      </c>
      <c r="AH31" s="176">
        <v>6696</v>
      </c>
      <c r="AI31" s="177">
        <v>6321</v>
      </c>
      <c r="AJ31" s="510">
        <v>6945.2</v>
      </c>
      <c r="AK31" s="179">
        <v>6392.5</v>
      </c>
      <c r="AL31" s="176">
        <v>6894.8</v>
      </c>
      <c r="AM31" s="177">
        <v>7107</v>
      </c>
      <c r="AN31" s="510">
        <v>7815</v>
      </c>
      <c r="AO31" s="179">
        <v>7116</v>
      </c>
      <c r="AP31" s="176">
        <v>7307.83</v>
      </c>
      <c r="AQ31" s="177"/>
      <c r="AR31" s="510"/>
      <c r="AS31" s="179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20.25" customHeight="1" thickTop="1" thickBot="1">
      <c r="A32" s="194" t="s">
        <v>156</v>
      </c>
      <c r="B32" s="194" t="s">
        <v>157</v>
      </c>
      <c r="C32" s="195">
        <v>951</v>
      </c>
      <c r="D32" s="196">
        <v>1007.1</v>
      </c>
      <c r="E32" s="197">
        <v>971.09999999999991</v>
      </c>
      <c r="F32" s="198">
        <v>941.3</v>
      </c>
      <c r="G32" s="199">
        <v>983.69999999999993</v>
      </c>
      <c r="H32" s="199">
        <v>1026</v>
      </c>
      <c r="I32" s="197">
        <v>1168.3000000000002</v>
      </c>
      <c r="J32" s="198">
        <v>1035.1000000000001</v>
      </c>
      <c r="K32" s="199">
        <v>1166.3</v>
      </c>
      <c r="L32" s="199">
        <v>1126.4000000000001</v>
      </c>
      <c r="M32" s="197">
        <v>1147.8000000000002</v>
      </c>
      <c r="N32" s="200">
        <v>991.90000000000009</v>
      </c>
      <c r="O32" s="201">
        <v>1022.0000000000001</v>
      </c>
      <c r="P32" s="202">
        <v>980.8</v>
      </c>
      <c r="Q32" s="203">
        <v>1089.6000000000001</v>
      </c>
      <c r="R32" s="200">
        <v>750.09999999999991</v>
      </c>
      <c r="S32" s="201">
        <v>654.60000000000014</v>
      </c>
      <c r="T32" s="202">
        <v>598.70000000000005</v>
      </c>
      <c r="U32" s="203" t="s">
        <v>92</v>
      </c>
      <c r="V32" s="200">
        <v>597.80000000000007</v>
      </c>
      <c r="W32" s="201">
        <v>669.60000000000014</v>
      </c>
      <c r="X32" s="202">
        <v>633.20000000000016</v>
      </c>
      <c r="Y32" s="203">
        <v>309.8</v>
      </c>
      <c r="Z32" s="200">
        <v>883.2</v>
      </c>
      <c r="AA32" s="201">
        <v>769.3</v>
      </c>
      <c r="AB32" s="202">
        <v>1300.7</v>
      </c>
      <c r="AC32" s="203">
        <v>1151.6000000000001</v>
      </c>
      <c r="AD32" s="200">
        <v>956.7</v>
      </c>
      <c r="AE32" s="201">
        <v>930.7</v>
      </c>
      <c r="AF32" s="511">
        <v>857.5999999999998</v>
      </c>
      <c r="AG32" s="203">
        <v>582.70000000000005</v>
      </c>
      <c r="AH32" s="200">
        <v>648.79999999999927</v>
      </c>
      <c r="AI32" s="201">
        <v>939.5</v>
      </c>
      <c r="AJ32" s="511">
        <v>933</v>
      </c>
      <c r="AK32" s="203">
        <v>953.49999999999989</v>
      </c>
      <c r="AL32" s="200">
        <v>1003.3</v>
      </c>
      <c r="AM32" s="201">
        <v>1242.9999999999998</v>
      </c>
      <c r="AN32" s="511">
        <v>1398.6999999999998</v>
      </c>
      <c r="AO32" s="203">
        <v>1935.8999999999999</v>
      </c>
      <c r="AP32" s="200">
        <v>2323.1999999999989</v>
      </c>
      <c r="AQ32" s="201"/>
      <c r="AR32" s="511"/>
      <c r="AS32" s="203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</row>
    <row r="33" spans="1:74" ht="20.25" customHeight="1" thickBot="1">
      <c r="A33" s="192" t="s">
        <v>158</v>
      </c>
      <c r="B33" s="192" t="s">
        <v>155</v>
      </c>
      <c r="C33" s="181">
        <v>2433.4</v>
      </c>
      <c r="D33" s="182">
        <v>2596.8999999999996</v>
      </c>
      <c r="E33" s="183">
        <v>2400.8999999999996</v>
      </c>
      <c r="F33" s="184">
        <v>2900.1</v>
      </c>
      <c r="G33" s="185">
        <v>3077.3999999999996</v>
      </c>
      <c r="H33" s="185">
        <v>2854.3</v>
      </c>
      <c r="I33" s="183">
        <v>3369.9</v>
      </c>
      <c r="J33" s="184">
        <v>5723</v>
      </c>
      <c r="K33" s="185">
        <v>6948.7000000000007</v>
      </c>
      <c r="L33" s="185">
        <v>6777.7000000000007</v>
      </c>
      <c r="M33" s="183">
        <v>6736.0000000000009</v>
      </c>
      <c r="N33" s="184">
        <v>6920.2999999999993</v>
      </c>
      <c r="O33" s="187">
        <v>7193.3</v>
      </c>
      <c r="P33" s="193">
        <v>7368.9</v>
      </c>
      <c r="Q33" s="188">
        <v>7143.7000000000007</v>
      </c>
      <c r="R33" s="186">
        <v>7214.7000000000007</v>
      </c>
      <c r="S33" s="187">
        <v>6742.7000000000007</v>
      </c>
      <c r="T33" s="189">
        <v>6798.1999999999989</v>
      </c>
      <c r="U33" s="188" t="s">
        <v>92</v>
      </c>
      <c r="V33" s="186">
        <v>7192.4</v>
      </c>
      <c r="W33" s="187">
        <v>6676.7999999999993</v>
      </c>
      <c r="X33" s="189">
        <v>6823.4999999999991</v>
      </c>
      <c r="Y33" s="188">
        <v>6647.4</v>
      </c>
      <c r="Z33" s="186">
        <v>6689.6</v>
      </c>
      <c r="AA33" s="187">
        <v>7046.2</v>
      </c>
      <c r="AB33" s="189">
        <v>7332.9999999999991</v>
      </c>
      <c r="AC33" s="188">
        <v>7500.7000000000007</v>
      </c>
      <c r="AD33" s="186">
        <v>7299.7</v>
      </c>
      <c r="AE33" s="187">
        <v>7584.5</v>
      </c>
      <c r="AF33" s="189">
        <v>7536.4000000000005</v>
      </c>
      <c r="AG33" s="188" t="s">
        <v>323</v>
      </c>
      <c r="AH33" s="186">
        <v>7344.8</v>
      </c>
      <c r="AI33" s="187">
        <v>7260.5</v>
      </c>
      <c r="AJ33" s="189">
        <v>7878.2</v>
      </c>
      <c r="AK33" s="188">
        <v>7346</v>
      </c>
      <c r="AL33" s="186">
        <v>7898.1</v>
      </c>
      <c r="AM33" s="187">
        <v>8350</v>
      </c>
      <c r="AN33" s="189">
        <v>9213.7000000000007</v>
      </c>
      <c r="AO33" s="188">
        <v>9051.9</v>
      </c>
      <c r="AP33" s="186">
        <v>9631.0299999999988</v>
      </c>
      <c r="AQ33" s="187"/>
      <c r="AR33" s="189"/>
      <c r="AS33" s="188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</row>
    <row r="34" spans="1:74" ht="20.25" customHeight="1" thickTop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10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512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</row>
    <row r="35" spans="1:74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10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512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72.900000000000006">
      <c r="A36" s="86"/>
      <c r="B36" s="82" t="s">
        <v>264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10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512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</row>
    <row r="37" spans="1:74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10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512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</row>
    <row r="38" spans="1:74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10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512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</row>
    <row r="39" spans="1:74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10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512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</row>
    <row r="40" spans="1:74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10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512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</row>
    <row r="41" spans="1:74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10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512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</row>
    <row r="42" spans="1:74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10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512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</row>
    <row r="43" spans="1:74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10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512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10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512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</row>
    <row r="45" spans="1:74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10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512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10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512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</row>
    <row r="47" spans="1:74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10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512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</row>
    <row r="48" spans="1:74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10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512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</row>
    <row r="49" spans="1:74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10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512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</row>
    <row r="50" spans="1:74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10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512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</row>
    <row r="51" spans="1:74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10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512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</row>
    <row r="52" spans="1:74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10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512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</row>
    <row r="53" spans="1:74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10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512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</row>
    <row r="54" spans="1:74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10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512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</row>
    <row r="55" spans="1:74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10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512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10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512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</row>
    <row r="57" spans="1:74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10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512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10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512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</row>
    <row r="59" spans="1:74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10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512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10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512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</row>
    <row r="61" spans="1:74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10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512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</row>
    <row r="62" spans="1:74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10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512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</row>
    <row r="63" spans="1:74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10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512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</row>
    <row r="64" spans="1:7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10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512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</row>
    <row r="65" spans="1:74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10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512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</row>
    <row r="66" spans="1:74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10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512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</row>
    <row r="67" spans="1:74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10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512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</row>
    <row r="68" spans="1:74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10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512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</row>
    <row r="69" spans="1:74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10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512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10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512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</row>
    <row r="71" spans="1:74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10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512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</row>
    <row r="72" spans="1:74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10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512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</row>
    <row r="73" spans="1:74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10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512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10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512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</row>
    <row r="75" spans="1:74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10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512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</row>
    <row r="76" spans="1:74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10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512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</row>
    <row r="77" spans="1:74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10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512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</row>
    <row r="78" spans="1:74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10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512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</row>
    <row r="79" spans="1:74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10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512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</row>
    <row r="80" spans="1:74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10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512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</row>
    <row r="81" spans="1:48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10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512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</row>
    <row r="82" spans="1:48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10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512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</row>
    <row r="83" spans="1:48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10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512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</row>
    <row r="84" spans="1:48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10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512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</row>
    <row r="85" spans="1:48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10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512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</row>
    <row r="86" spans="1:48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10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512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</row>
    <row r="87" spans="1:48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10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512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</row>
    <row r="88" spans="1:48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10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512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</row>
    <row r="89" spans="1:48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10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512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</row>
    <row r="90" spans="1:48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10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512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</row>
    <row r="91" spans="1:48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10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512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</row>
    <row r="92" spans="1:48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10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512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</row>
    <row r="93" spans="1:48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10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512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</row>
    <row r="94" spans="1:48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10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512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</row>
    <row r="95" spans="1:48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10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512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</row>
    <row r="96" spans="1:48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10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512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</row>
    <row r="97" spans="1:48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10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512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</row>
    <row r="98" spans="1:48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10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512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</row>
    <row r="99" spans="1:48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10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512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</row>
    <row r="100" spans="1:48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10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512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</row>
    <row r="101" spans="1:48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10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512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</row>
    <row r="102" spans="1:48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10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512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</row>
    <row r="103" spans="1:48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10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512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</row>
    <row r="104" spans="1:48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10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512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</row>
    <row r="105" spans="1:48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10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512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</row>
    <row r="106" spans="1:48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10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512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</row>
    <row r="107" spans="1:48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10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512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</row>
    <row r="108" spans="1:48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10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512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</row>
    <row r="109" spans="1:48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10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512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</row>
    <row r="110" spans="1:48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10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512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</row>
    <row r="111" spans="1:48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10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512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</row>
    <row r="112" spans="1:48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10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512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</row>
    <row r="113" spans="1:48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10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512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</row>
    <row r="114" spans="1:48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10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512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</row>
    <row r="115" spans="1:48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10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512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</row>
    <row r="116" spans="1:48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10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512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</row>
    <row r="117" spans="1:48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10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512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</row>
    <row r="118" spans="1:48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10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512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</row>
    <row r="119" spans="1:48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10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512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</row>
    <row r="120" spans="1:48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10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512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</row>
    <row r="121" spans="1:48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10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512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</row>
    <row r="122" spans="1:48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10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512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</row>
    <row r="123" spans="1:48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10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512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</row>
    <row r="124" spans="1:48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10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512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</row>
    <row r="125" spans="1:48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10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512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</row>
    <row r="126" spans="1:48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10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512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</row>
    <row r="127" spans="1:48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10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512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</row>
    <row r="128" spans="1:48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10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512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</row>
    <row r="129" spans="1:48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10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512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</row>
    <row r="130" spans="1:48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10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512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</row>
    <row r="131" spans="1:48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10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512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</row>
    <row r="132" spans="1:48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10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512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</row>
    <row r="133" spans="1:48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10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512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</row>
    <row r="134" spans="1:48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10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512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</row>
    <row r="135" spans="1:48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10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512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</row>
    <row r="136" spans="1:48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10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512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</row>
    <row r="137" spans="1:48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10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512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</row>
    <row r="138" spans="1:48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10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512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</row>
    <row r="139" spans="1:48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10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512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</row>
    <row r="140" spans="1:48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10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512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</row>
    <row r="141" spans="1:48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10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512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</row>
    <row r="142" spans="1:48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10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512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</row>
    <row r="143" spans="1:48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10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512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</row>
    <row r="144" spans="1:48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10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512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</row>
    <row r="145" spans="1:48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10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512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</row>
    <row r="146" spans="1:48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10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512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</row>
    <row r="147" spans="1:48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10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512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</row>
    <row r="148" spans="1:48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10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512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</row>
    <row r="149" spans="1:48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10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512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</row>
    <row r="150" spans="1:48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10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512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</row>
    <row r="151" spans="1:48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10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512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</row>
    <row r="152" spans="1:48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10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512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</row>
    <row r="153" spans="1:48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10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512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</row>
    <row r="154" spans="1:48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10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512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</row>
    <row r="155" spans="1:48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10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512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</row>
    <row r="156" spans="1:48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10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512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</row>
    <row r="157" spans="1:48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10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512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</row>
    <row r="158" spans="1:48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10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512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</row>
    <row r="159" spans="1:48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10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512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</row>
    <row r="160" spans="1:48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10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512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</row>
    <row r="161" spans="1:48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10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512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</row>
    <row r="162" spans="1:48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10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512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</row>
    <row r="163" spans="1:48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10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512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</row>
    <row r="164" spans="1:48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10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512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</row>
    <row r="165" spans="1:48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10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512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</row>
    <row r="166" spans="1:48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10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512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</row>
    <row r="167" spans="1:48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10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512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</row>
    <row r="168" spans="1:48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10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512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</row>
    <row r="169" spans="1:48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10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512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</row>
    <row r="170" spans="1:48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10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512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</row>
    <row r="171" spans="1:48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10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512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</row>
    <row r="172" spans="1:48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10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512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</row>
    <row r="173" spans="1:48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10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512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</row>
    <row r="174" spans="1:48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10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512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</row>
    <row r="175" spans="1:48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10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512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</row>
    <row r="176" spans="1:48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10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512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</row>
    <row r="177" spans="1:48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10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512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</row>
    <row r="178" spans="1:48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10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512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</row>
    <row r="179" spans="1:48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10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512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</row>
    <row r="180" spans="1:48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10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512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</row>
    <row r="181" spans="1:48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10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512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</row>
    <row r="182" spans="1:48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10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512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</row>
    <row r="183" spans="1:48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10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512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</row>
    <row r="184" spans="1:48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10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512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</row>
    <row r="185" spans="1:48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10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512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</row>
    <row r="186" spans="1:48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10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512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</row>
    <row r="187" spans="1:48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10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512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</row>
    <row r="188" spans="1:48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10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512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</row>
    <row r="189" spans="1:48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10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512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</row>
    <row r="190" spans="1:48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10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512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</row>
    <row r="191" spans="1:48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10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512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</row>
    <row r="192" spans="1:48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10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512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</row>
    <row r="193" spans="1:48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10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512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</row>
    <row r="194" spans="1:48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10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512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</row>
    <row r="195" spans="1:48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10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512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</row>
    <row r="196" spans="1:48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10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512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</row>
    <row r="197" spans="1:48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10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512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</row>
    <row r="198" spans="1:48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10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512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</row>
    <row r="199" spans="1:48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10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512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</row>
    <row r="200" spans="1:48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10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512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</row>
    <row r="201" spans="1:48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10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512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</row>
    <row r="202" spans="1:48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10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512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</row>
    <row r="203" spans="1:48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10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512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</row>
    <row r="204" spans="1:48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10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512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</row>
    <row r="205" spans="1:48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10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512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</row>
    <row r="206" spans="1:48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10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512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</row>
    <row r="207" spans="1:48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10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512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</row>
    <row r="208" spans="1:48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10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512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</row>
    <row r="209" spans="1:48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10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512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</row>
    <row r="210" spans="1:48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10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512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</row>
    <row r="211" spans="1:48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10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512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</row>
    <row r="212" spans="1:48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10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512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</row>
    <row r="213" spans="1:48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10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512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</row>
    <row r="214" spans="1:48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10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512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</row>
    <row r="215" spans="1:48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10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512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</row>
    <row r="216" spans="1:48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10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512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</row>
    <row r="217" spans="1:48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10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512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</row>
    <row r="218" spans="1:48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10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512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</row>
    <row r="219" spans="1:48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10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512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</row>
    <row r="220" spans="1:48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10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512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</row>
    <row r="221" spans="1:48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10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512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</row>
    <row r="222" spans="1:48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10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512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</row>
    <row r="223" spans="1:48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10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512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</row>
    <row r="224" spans="1:48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10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512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</row>
    <row r="225" spans="1:48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10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512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</row>
    <row r="226" spans="1:48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10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512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</row>
    <row r="227" spans="1:48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10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512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</row>
    <row r="228" spans="1:48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10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512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</row>
    <row r="229" spans="1:48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10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512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</row>
    <row r="230" spans="1:48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10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512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</row>
    <row r="231" spans="1:48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10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512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</row>
    <row r="232" spans="1:48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10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512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</row>
    <row r="233" spans="1:48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10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512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</row>
    <row r="234" spans="1:48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10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512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</row>
    <row r="235" spans="1:48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10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512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</row>
    <row r="236" spans="1:48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10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512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</row>
    <row r="237" spans="1:48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10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512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</row>
    <row r="238" spans="1:48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10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512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</row>
    <row r="239" spans="1:48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10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512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</row>
    <row r="240" spans="1:48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10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512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</row>
    <row r="241" spans="1:48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10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512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</row>
    <row r="242" spans="1:48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10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512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</row>
    <row r="243" spans="1:48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10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512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</row>
    <row r="244" spans="1:48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10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512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</row>
    <row r="245" spans="1:48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10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512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</row>
    <row r="246" spans="1:48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10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512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</row>
    <row r="247" spans="1:48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10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512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</row>
    <row r="248" spans="1:48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10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512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</row>
    <row r="249" spans="1:48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10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512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</row>
    <row r="250" spans="1:48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10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512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</row>
    <row r="251" spans="1:48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10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512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</row>
    <row r="252" spans="1:48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10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512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</row>
    <row r="253" spans="1:48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10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512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</row>
    <row r="254" spans="1:48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10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512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</row>
    <row r="255" spans="1:48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10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512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</row>
    <row r="256" spans="1:48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10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512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</row>
    <row r="257" spans="1:48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10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512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</row>
    <row r="258" spans="1:48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10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512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</row>
    <row r="259" spans="1:48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10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512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</row>
    <row r="260" spans="1:48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10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512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</row>
    <row r="261" spans="1:48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10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512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</row>
    <row r="262" spans="1:48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10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512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</row>
    <row r="263" spans="1:48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10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512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</row>
    <row r="264" spans="1:48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10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512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</row>
    <row r="265" spans="1:48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10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512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</row>
    <row r="266" spans="1:48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10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512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</row>
    <row r="267" spans="1:48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10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512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</row>
    <row r="268" spans="1:48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10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512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</row>
    <row r="269" spans="1:48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10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512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</row>
    <row r="270" spans="1:48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10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512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</row>
    <row r="271" spans="1:48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10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512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</row>
    <row r="272" spans="1:48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10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512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</row>
    <row r="273" spans="1:48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10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512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</row>
    <row r="274" spans="1:48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10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512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</row>
    <row r="275" spans="1:48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10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512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</row>
    <row r="276" spans="1:48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10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512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</row>
    <row r="277" spans="1:48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10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512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</row>
    <row r="278" spans="1:48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10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512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</row>
    <row r="279" spans="1:48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10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512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</row>
    <row r="280" spans="1:48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10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512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</row>
    <row r="281" spans="1:48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10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512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</row>
    <row r="282" spans="1:48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10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512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</row>
    <row r="283" spans="1:48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10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512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</row>
    <row r="284" spans="1:48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10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512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</row>
    <row r="285" spans="1:48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10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512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</row>
    <row r="286" spans="1:48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10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512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</row>
    <row r="287" spans="1:48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10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512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</row>
    <row r="288" spans="1:48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10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512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</row>
    <row r="289" spans="1:48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10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512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</row>
    <row r="290" spans="1:48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10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512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</row>
    <row r="291" spans="1:48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10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512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</row>
    <row r="292" spans="1:48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10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512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</row>
    <row r="293" spans="1:48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10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512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</row>
    <row r="294" spans="1:48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10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512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</row>
    <row r="295" spans="1:48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10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512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</row>
    <row r="296" spans="1:48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10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512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</row>
    <row r="297" spans="1:48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10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512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</row>
    <row r="298" spans="1:48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10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512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</row>
    <row r="299" spans="1:48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10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512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</row>
    <row r="300" spans="1:48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10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512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</row>
    <row r="301" spans="1:48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10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512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</row>
    <row r="302" spans="1:48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10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512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</row>
    <row r="303" spans="1:48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10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512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</row>
    <row r="304" spans="1:48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10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512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</row>
    <row r="305" spans="1:48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10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512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</row>
    <row r="306" spans="1:48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10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512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</row>
    <row r="307" spans="1:48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10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512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</row>
    <row r="308" spans="1:48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10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512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</row>
    <row r="309" spans="1:48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10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512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</row>
    <row r="310" spans="1:48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10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512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</row>
    <row r="311" spans="1:48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10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512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</row>
    <row r="312" spans="1:48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10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512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</row>
    <row r="313" spans="1:48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10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512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</row>
    <row r="314" spans="1:48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10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512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</row>
    <row r="315" spans="1:48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10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512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</row>
    <row r="316" spans="1:48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10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512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</row>
    <row r="317" spans="1:48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10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512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</row>
    <row r="318" spans="1:48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10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512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</row>
    <row r="319" spans="1:48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10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512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</row>
    <row r="320" spans="1:48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10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512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</row>
    <row r="321" spans="1:48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10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512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</row>
    <row r="322" spans="1:48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10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512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</row>
    <row r="323" spans="1:48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10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512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</row>
    <row r="324" spans="1:48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10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512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</row>
  </sheetData>
  <mergeCells count="11">
    <mergeCell ref="V1:Y1"/>
    <mergeCell ref="C1:E1"/>
    <mergeCell ref="F1:I1"/>
    <mergeCell ref="J1:M1"/>
    <mergeCell ref="N1:Q1"/>
    <mergeCell ref="R1:U1"/>
    <mergeCell ref="AP1:AS1"/>
    <mergeCell ref="AL1:AO1"/>
    <mergeCell ref="AH1:AK1"/>
    <mergeCell ref="AD1:AG1"/>
    <mergeCell ref="Z1:AC1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GM81"/>
  <sheetViews>
    <sheetView showGridLines="0" zoomScale="85" zoomScaleNormal="85" workbookViewId="0">
      <pane xSplit="1" topLeftCell="AY1" activePane="topRight" state="frozen"/>
      <selection pane="topRight" activeCell="BG45" sqref="BG45"/>
    </sheetView>
  </sheetViews>
  <sheetFormatPr defaultRowHeight="14.6" outlineLevelRow="1" outlineLevelCol="1"/>
  <cols>
    <col min="1" max="1" width="72.53515625" bestFit="1" customWidth="1"/>
    <col min="2" max="2" width="55.3828125" bestFit="1" customWidth="1"/>
    <col min="3" max="6" width="18.3828125" hidden="1" customWidth="1" outlineLevel="1"/>
    <col min="7" max="7" width="5.3828125" customWidth="1" collapsed="1"/>
    <col min="8" max="8" width="11.84375" customWidth="1"/>
    <col min="9" max="9" width="5.3828125" customWidth="1"/>
    <col min="10" max="13" width="18.3828125" hidden="1" customWidth="1" outlineLevel="1"/>
    <col min="14" max="14" width="5.3828125" hidden="1" customWidth="1" outlineLevel="1"/>
    <col min="15" max="15" width="11.53515625" customWidth="1" collapsed="1"/>
    <col min="16" max="16" width="5.3828125" customWidth="1"/>
    <col min="17" max="20" width="18.3828125" hidden="1" customWidth="1" outlineLevel="1"/>
    <col min="21" max="21" width="5.3828125" hidden="1" customWidth="1" outlineLevel="1"/>
    <col min="22" max="22" width="9.84375" bestFit="1" customWidth="1" collapsed="1"/>
    <col min="24" max="25" width="9.3046875" hidden="1" customWidth="1" outlineLevel="1"/>
    <col min="26" max="27" width="8.84375" hidden="1" customWidth="1" outlineLevel="1"/>
    <col min="28" max="28" width="9.15234375" style="122" hidden="1" customWidth="1" outlineLevel="1"/>
    <col min="29" max="29" width="11.69140625" customWidth="1" collapsed="1"/>
    <col min="30" max="30" width="9" customWidth="1"/>
    <col min="31" max="31" width="8.84375" hidden="1" customWidth="1" outlineLevel="1"/>
    <col min="32" max="34" width="9.15234375" hidden="1" customWidth="1" outlineLevel="1"/>
    <col min="35" max="35" width="11.69140625" hidden="1" customWidth="1" outlineLevel="1"/>
    <col min="36" max="36" width="13.3046875" customWidth="1" collapsed="1"/>
    <col min="38" max="38" width="11.3046875" customWidth="1" outlineLevel="1"/>
    <col min="39" max="40" width="9.15234375" customWidth="1" outlineLevel="1"/>
    <col min="41" max="41" width="10.69140625" customWidth="1" outlineLevel="1"/>
    <col min="42" max="42" width="9.53515625" customWidth="1" outlineLevel="1"/>
    <col min="43" max="43" width="13.3828125" customWidth="1"/>
    <col min="45" max="47" width="8.84375" outlineLevel="1"/>
    <col min="48" max="48" width="10.69140625" customWidth="1" outlineLevel="1"/>
    <col min="49" max="49" width="8.84375" outlineLevel="1"/>
    <col min="50" max="50" width="12.3046875" bestFit="1" customWidth="1"/>
    <col min="52" max="52" width="9.15234375" outlineLevel="1"/>
    <col min="55" max="55" width="10.69140625" customWidth="1" outlineLevel="1"/>
    <col min="57" max="57" width="10.69140625" customWidth="1"/>
    <col min="59" max="59" width="10.15234375" customWidth="1" outlineLevel="1"/>
    <col min="62" max="62" width="10.69140625" customWidth="1" outlineLevel="1"/>
    <col min="64" max="64" width="10.69140625" customWidth="1"/>
  </cols>
  <sheetData>
    <row r="1" spans="1:195" ht="32.5" customHeight="1" thickBot="1">
      <c r="A1" s="87" t="s">
        <v>72</v>
      </c>
      <c r="B1" s="292" t="s">
        <v>276</v>
      </c>
      <c r="C1" s="210" t="s">
        <v>73</v>
      </c>
      <c r="D1" s="36" t="s">
        <v>74</v>
      </c>
      <c r="E1" s="37" t="s">
        <v>75</v>
      </c>
      <c r="F1" s="38" t="s">
        <v>76</v>
      </c>
      <c r="H1" s="213">
        <v>2018</v>
      </c>
      <c r="J1" s="35" t="s">
        <v>77</v>
      </c>
      <c r="K1" s="36" t="s">
        <v>78</v>
      </c>
      <c r="L1" s="37" t="s">
        <v>79</v>
      </c>
      <c r="M1" s="38" t="s">
        <v>80</v>
      </c>
      <c r="O1" s="213">
        <v>2019</v>
      </c>
      <c r="P1" s="5"/>
      <c r="Q1" s="35" t="s">
        <v>81</v>
      </c>
      <c r="R1" s="36" t="s">
        <v>82</v>
      </c>
      <c r="S1" s="37" t="s">
        <v>83</v>
      </c>
      <c r="T1" s="38" t="s">
        <v>159</v>
      </c>
      <c r="V1" s="228" t="s">
        <v>233</v>
      </c>
      <c r="X1" s="329" t="s">
        <v>81</v>
      </c>
      <c r="Y1" s="330" t="s">
        <v>82</v>
      </c>
      <c r="Z1" s="330" t="s">
        <v>83</v>
      </c>
      <c r="AA1" s="330" t="s">
        <v>234</v>
      </c>
      <c r="AC1" s="228" t="s">
        <v>235</v>
      </c>
      <c r="AD1" s="5"/>
      <c r="AE1" s="35" t="s">
        <v>227</v>
      </c>
      <c r="AF1" s="35" t="s">
        <v>228</v>
      </c>
      <c r="AG1" s="35" t="s">
        <v>229</v>
      </c>
      <c r="AH1" s="35" t="s">
        <v>230</v>
      </c>
      <c r="AJ1" s="213" t="s">
        <v>231</v>
      </c>
      <c r="AL1" s="35" t="s">
        <v>283</v>
      </c>
      <c r="AM1" s="35" t="s">
        <v>284</v>
      </c>
      <c r="AN1" s="35" t="s">
        <v>285</v>
      </c>
      <c r="AO1" s="35" t="s">
        <v>286</v>
      </c>
      <c r="AQ1" s="213" t="s">
        <v>297</v>
      </c>
      <c r="AS1" s="35" t="s">
        <v>331</v>
      </c>
      <c r="AT1" s="35" t="s">
        <v>332</v>
      </c>
      <c r="AU1" s="35" t="s">
        <v>333</v>
      </c>
      <c r="AV1" s="35" t="s">
        <v>334</v>
      </c>
      <c r="AX1" s="213" t="s">
        <v>335</v>
      </c>
      <c r="AZ1" s="35" t="s">
        <v>342</v>
      </c>
      <c r="BA1" s="35" t="s">
        <v>343</v>
      </c>
      <c r="BB1" s="35" t="s">
        <v>344</v>
      </c>
      <c r="BC1" s="35" t="s">
        <v>345</v>
      </c>
      <c r="BE1" s="213" t="s">
        <v>346</v>
      </c>
      <c r="BG1" s="35" t="s">
        <v>351</v>
      </c>
      <c r="BH1" s="35" t="s">
        <v>352</v>
      </c>
      <c r="BI1" s="35" t="s">
        <v>353</v>
      </c>
      <c r="BJ1" s="35" t="s">
        <v>354</v>
      </c>
      <c r="BL1" s="213" t="s">
        <v>350</v>
      </c>
    </row>
    <row r="2" spans="1:195" s="60" customFormat="1" ht="20.149999999999999" customHeight="1" thickTop="1" thickBot="1">
      <c r="A2" s="361" t="s">
        <v>100</v>
      </c>
      <c r="B2" s="362" t="s">
        <v>101</v>
      </c>
      <c r="C2" s="363">
        <v>-137.80000000000001</v>
      </c>
      <c r="D2" s="364">
        <v>212.9</v>
      </c>
      <c r="E2" s="365">
        <v>-29.699999999999996</v>
      </c>
      <c r="F2" s="366">
        <v>46.1</v>
      </c>
      <c r="G2"/>
      <c r="H2" s="214">
        <v>91.5</v>
      </c>
      <c r="I2"/>
      <c r="J2" s="363">
        <v>-186.9</v>
      </c>
      <c r="K2" s="364">
        <v>65.100000000000009</v>
      </c>
      <c r="L2" s="365">
        <v>-24.4</v>
      </c>
      <c r="M2" s="366">
        <f>O2-SUM(J2:L2)</f>
        <v>128.29999999999998</v>
      </c>
      <c r="N2"/>
      <c r="O2" s="221">
        <v>-17.899999999999999</v>
      </c>
      <c r="P2" s="5"/>
      <c r="Q2" s="363">
        <v>-386</v>
      </c>
      <c r="R2" s="364">
        <v>-587.20000000000005</v>
      </c>
      <c r="S2" s="365">
        <v>-63</v>
      </c>
      <c r="T2" s="366" t="s">
        <v>92</v>
      </c>
      <c r="U2"/>
      <c r="V2" s="322">
        <v>1260.0999999999999</v>
      </c>
      <c r="W2"/>
      <c r="X2" s="363">
        <v>-440.9</v>
      </c>
      <c r="Y2" s="364">
        <f>-886.5-X2</f>
        <v>-445.6</v>
      </c>
      <c r="Z2" s="365">
        <f>-917.7-Y2-X2</f>
        <v>-31.200000000000045</v>
      </c>
      <c r="AA2" s="366">
        <f>AC2-Z2-Y2-X2</f>
        <v>-250.70000000000005</v>
      </c>
      <c r="AB2" s="122"/>
      <c r="AC2" s="322">
        <v>-1168.4000000000001</v>
      </c>
      <c r="AD2" s="5"/>
      <c r="AE2" s="363">
        <v>-171.5</v>
      </c>
      <c r="AF2" s="364">
        <f>-63.6-AE2</f>
        <v>107.9</v>
      </c>
      <c r="AG2" s="365">
        <f>-25.4-AF2-AE2</f>
        <v>38.199999999999989</v>
      </c>
      <c r="AH2" s="529">
        <f>AJ2-AG2-AF2-AE2</f>
        <v>-99.799999999999955</v>
      </c>
      <c r="AI2" s="5"/>
      <c r="AJ2" s="530">
        <v>-125.2</v>
      </c>
      <c r="AK2"/>
      <c r="AL2" s="402">
        <v>-195.8</v>
      </c>
      <c r="AM2" s="364">
        <v>-54.199999999999989</v>
      </c>
      <c r="AN2" s="365">
        <v>-64.999999999999773</v>
      </c>
      <c r="AO2" s="322">
        <f>AQ2-SUM(AL2:AN2)</f>
        <v>-122.10000000000025</v>
      </c>
      <c r="AP2"/>
      <c r="AQ2" s="540">
        <v>-437.1</v>
      </c>
      <c r="AR2"/>
      <c r="AS2" s="363">
        <v>-154.10000000000002</v>
      </c>
      <c r="AT2" s="364">
        <v>26</v>
      </c>
      <c r="AU2" s="365">
        <v>-28.800000000000068</v>
      </c>
      <c r="AV2" s="322">
        <f>AX2-SUM(AS2:AU2)</f>
        <v>18.699999999999591</v>
      </c>
      <c r="AW2"/>
      <c r="AX2" s="322">
        <v>-138.2000000000005</v>
      </c>
      <c r="AY2"/>
      <c r="AZ2" s="363">
        <v>46.800000000000203</v>
      </c>
      <c r="BA2" s="364">
        <v>124.8</v>
      </c>
      <c r="BB2" s="365">
        <v>201.89999999999955</v>
      </c>
      <c r="BC2" s="322">
        <v>545.19999999999925</v>
      </c>
      <c r="BD2"/>
      <c r="BE2" s="322">
        <v>918.69999999999902</v>
      </c>
      <c r="BF2"/>
      <c r="BG2" s="363">
        <v>78.099999999999852</v>
      </c>
      <c r="BH2" s="364"/>
      <c r="BI2" s="365"/>
      <c r="BJ2" s="322"/>
      <c r="BK2"/>
      <c r="BL2" s="32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</row>
    <row r="3" spans="1:195" ht="15" customHeight="1">
      <c r="A3" s="304" t="s">
        <v>160</v>
      </c>
      <c r="B3" s="305" t="s">
        <v>161</v>
      </c>
      <c r="C3" s="308">
        <v>136.19999999999999</v>
      </c>
      <c r="D3" s="309">
        <v>143.19999999999999</v>
      </c>
      <c r="E3" s="307">
        <v>155</v>
      </c>
      <c r="F3" s="303">
        <v>168</v>
      </c>
      <c r="H3" s="306">
        <v>602.4</v>
      </c>
      <c r="J3" s="308">
        <v>167.2</v>
      </c>
      <c r="K3" s="309">
        <v>182.5</v>
      </c>
      <c r="L3" s="307">
        <v>176.8</v>
      </c>
      <c r="M3" s="303">
        <f t="shared" ref="M3:M47" si="0">O3-SUM(J3:L3)</f>
        <v>189.79999999999995</v>
      </c>
      <c r="O3" s="310">
        <v>716.3</v>
      </c>
      <c r="P3" s="5"/>
      <c r="Q3" s="308">
        <v>184.4</v>
      </c>
      <c r="R3" s="309">
        <v>183.20000000000002</v>
      </c>
      <c r="S3" s="307">
        <v>164.79999999999995</v>
      </c>
      <c r="T3" s="303" t="s">
        <v>92</v>
      </c>
      <c r="V3" s="323">
        <v>683.6</v>
      </c>
      <c r="X3" s="308">
        <v>166.3</v>
      </c>
      <c r="Y3" s="309">
        <f>342-X3</f>
        <v>175.7</v>
      </c>
      <c r="Z3" s="307">
        <f>483.2-Y3-X3</f>
        <v>141.19999999999999</v>
      </c>
      <c r="AA3" s="303">
        <f>AC3-Z3-Y3-X3</f>
        <v>127.90000000000003</v>
      </c>
      <c r="AC3" s="323">
        <v>611.1</v>
      </c>
      <c r="AD3" s="5"/>
      <c r="AE3" s="308">
        <v>136.5</v>
      </c>
      <c r="AF3" s="309">
        <f>287.8-AE3</f>
        <v>151.30000000000001</v>
      </c>
      <c r="AG3" s="307">
        <f>430.4-AF3-AE3</f>
        <v>142.59999999999997</v>
      </c>
      <c r="AH3" s="111">
        <f>AJ3-AG3-AF3-AE3</f>
        <v>146.89999999999998</v>
      </c>
      <c r="AI3" s="5"/>
      <c r="AJ3" s="531">
        <v>577.29999999999995</v>
      </c>
      <c r="AL3" s="403">
        <v>148</v>
      </c>
      <c r="AM3" s="309">
        <v>147.80000000000001</v>
      </c>
      <c r="AN3" s="307">
        <v>147</v>
      </c>
      <c r="AO3" s="323">
        <f t="shared" ref="AO3:AO48" si="1">AQ3-SUM(AL3:AN3)</f>
        <v>141.69999999999999</v>
      </c>
      <c r="AQ3" s="541">
        <v>584.5</v>
      </c>
      <c r="AS3" s="308">
        <v>155.5</v>
      </c>
      <c r="AT3" s="309">
        <v>144.5</v>
      </c>
      <c r="AU3" s="307">
        <v>153.30000000000001</v>
      </c>
      <c r="AV3" s="323">
        <f t="shared" ref="AV3:AV48" si="2">AX3-SUM(AS3:AU3)</f>
        <v>141.19999999999999</v>
      </c>
      <c r="AX3" s="323">
        <v>594.5</v>
      </c>
      <c r="AZ3" s="308">
        <v>149.9</v>
      </c>
      <c r="BA3" s="309">
        <v>144.4</v>
      </c>
      <c r="BB3" s="307">
        <v>151</v>
      </c>
      <c r="BC3" s="323">
        <v>153.80000000000001</v>
      </c>
      <c r="BE3" s="323">
        <v>599.1</v>
      </c>
      <c r="BG3" s="308">
        <v>161.5</v>
      </c>
      <c r="BH3" s="309"/>
      <c r="BI3" s="307"/>
      <c r="BJ3" s="323"/>
      <c r="BL3" s="323"/>
    </row>
    <row r="4" spans="1:195" ht="15" customHeight="1">
      <c r="A4" s="311" t="s">
        <v>278</v>
      </c>
      <c r="B4" s="367" t="s">
        <v>280</v>
      </c>
      <c r="C4" s="308"/>
      <c r="D4" s="309"/>
      <c r="E4" s="309"/>
      <c r="F4" s="303"/>
      <c r="H4" s="306"/>
      <c r="J4" s="308"/>
      <c r="K4" s="309">
        <f>SUM(K5:K9)</f>
        <v>90.1</v>
      </c>
      <c r="L4" s="309">
        <f>SUM(L5:L9)</f>
        <v>64.900000000000006</v>
      </c>
      <c r="M4" s="303">
        <f>SUM(M5:M9)</f>
        <v>4.1999999999999922</v>
      </c>
      <c r="O4" s="310"/>
      <c r="P4" s="5"/>
      <c r="Q4" s="308">
        <f>SUM(Q5:Q9)</f>
        <v>88.3</v>
      </c>
      <c r="R4" s="309">
        <f>SUM(R5:R9)</f>
        <v>340.7</v>
      </c>
      <c r="S4" s="309">
        <f>SUM(S5:S9)</f>
        <v>146.60000000000002</v>
      </c>
      <c r="T4" s="303" t="s">
        <v>92</v>
      </c>
      <c r="V4" s="323">
        <f>SUM(V5:V9)</f>
        <v>745.09999999999991</v>
      </c>
      <c r="X4" s="308">
        <f>SUM(X5:X9)</f>
        <v>49.5</v>
      </c>
      <c r="Y4" s="309">
        <f>SUM(Y5:Y9)</f>
        <v>530.4</v>
      </c>
      <c r="Z4" s="309">
        <f>SUM(Z5:Z9)</f>
        <v>68.100000000000037</v>
      </c>
      <c r="AA4" s="303">
        <f t="shared" ref="AA4:AA11" si="3">AC4-Z4-Y4-X4</f>
        <v>168.69999999999993</v>
      </c>
      <c r="AC4" s="323">
        <v>816.69999999999993</v>
      </c>
      <c r="AD4" s="5"/>
      <c r="AE4" s="308">
        <f>SUM(AE5:AE9)</f>
        <v>66.5</v>
      </c>
      <c r="AF4" s="309">
        <f>SUM(AF5:AF9)</f>
        <v>-50.1</v>
      </c>
      <c r="AG4" s="309">
        <f>SUM(AG5:AG9)</f>
        <v>-9.8000000000000114</v>
      </c>
      <c r="AH4" s="111">
        <f>AJ4-AG4-AF4-AE4</f>
        <v>26.400000000000006</v>
      </c>
      <c r="AI4" s="5"/>
      <c r="AJ4" s="531">
        <v>33</v>
      </c>
      <c r="AL4" s="403">
        <v>159.69999999999999</v>
      </c>
      <c r="AM4" s="309">
        <v>23.600000000000009</v>
      </c>
      <c r="AN4" s="309">
        <v>88.999999999999986</v>
      </c>
      <c r="AO4" s="323">
        <f t="shared" si="1"/>
        <v>128.30000000000001</v>
      </c>
      <c r="AQ4" s="541">
        <v>400.6</v>
      </c>
      <c r="AS4" s="308">
        <v>68.8</v>
      </c>
      <c r="AT4" s="309">
        <v>25.5</v>
      </c>
      <c r="AU4" s="309">
        <v>114.8</v>
      </c>
      <c r="AV4" s="323">
        <f t="shared" si="2"/>
        <v>67.299999999999983</v>
      </c>
      <c r="AX4" s="323">
        <v>276.39999999999998</v>
      </c>
      <c r="AZ4" s="308">
        <v>133.6</v>
      </c>
      <c r="BA4" s="309">
        <v>85.1</v>
      </c>
      <c r="BB4" s="309">
        <v>118.60000000000002</v>
      </c>
      <c r="BC4" s="323">
        <v>-298.7</v>
      </c>
      <c r="BE4" s="323">
        <v>38.600000000000023</v>
      </c>
      <c r="BG4" s="308">
        <v>137.1</v>
      </c>
      <c r="BH4" s="309"/>
      <c r="BI4" s="309"/>
      <c r="BJ4" s="323"/>
      <c r="BL4" s="323"/>
    </row>
    <row r="5" spans="1:195" ht="15" hidden="1" customHeight="1" outlineLevel="1">
      <c r="A5" s="312" t="s">
        <v>162</v>
      </c>
      <c r="B5" s="313" t="s">
        <v>163</v>
      </c>
      <c r="C5" s="308">
        <v>0</v>
      </c>
      <c r="D5" s="309">
        <v>0</v>
      </c>
      <c r="E5" s="307">
        <v>0</v>
      </c>
      <c r="F5" s="303">
        <v>63.7</v>
      </c>
      <c r="H5" s="306">
        <v>63.7</v>
      </c>
      <c r="J5" s="308">
        <v>0</v>
      </c>
      <c r="K5" s="309">
        <v>2.2000000000000002</v>
      </c>
      <c r="L5" s="307">
        <v>0</v>
      </c>
      <c r="M5" s="303">
        <f t="shared" si="0"/>
        <v>0</v>
      </c>
      <c r="O5" s="310">
        <v>2.2000000000000002</v>
      </c>
      <c r="P5" s="5"/>
      <c r="Q5" s="308">
        <v>-3.6</v>
      </c>
      <c r="R5" s="309">
        <v>273.90000000000003</v>
      </c>
      <c r="S5" s="307">
        <v>22.300000000000011</v>
      </c>
      <c r="T5" s="303" t="s">
        <v>92</v>
      </c>
      <c r="V5" s="323">
        <v>332</v>
      </c>
      <c r="X5" s="308">
        <v>-3.7</v>
      </c>
      <c r="Y5" s="309">
        <f>271-X5</f>
        <v>274.7</v>
      </c>
      <c r="Z5" s="307">
        <f>275-Y5-X5</f>
        <v>4.0000000000000115</v>
      </c>
      <c r="AA5" s="303">
        <f t="shared" si="3"/>
        <v>-275</v>
      </c>
      <c r="AC5" s="323"/>
      <c r="AD5" s="5"/>
      <c r="AE5" s="308">
        <v>36</v>
      </c>
      <c r="AF5" s="309">
        <f>1.9-AE5</f>
        <v>-34.1</v>
      </c>
      <c r="AG5" s="307">
        <f>1.9-AF5-AE5</f>
        <v>0</v>
      </c>
      <c r="AH5" s="111"/>
      <c r="AI5" s="5"/>
      <c r="AJ5" s="531"/>
      <c r="AL5" s="403"/>
      <c r="AM5" s="309"/>
      <c r="AN5" s="307"/>
      <c r="AO5" s="323">
        <f t="shared" si="1"/>
        <v>0</v>
      </c>
      <c r="AQ5" s="541"/>
      <c r="AS5" s="308"/>
      <c r="AT5" s="309"/>
      <c r="AU5" s="307"/>
      <c r="AV5" s="323">
        <f t="shared" si="2"/>
        <v>0</v>
      </c>
      <c r="AX5" s="323"/>
      <c r="AZ5" s="308"/>
      <c r="BA5" s="309"/>
      <c r="BB5" s="307"/>
      <c r="BC5" s="323">
        <v>0</v>
      </c>
      <c r="BE5" s="323"/>
      <c r="BG5" s="308"/>
      <c r="BH5" s="309"/>
      <c r="BI5" s="307"/>
      <c r="BJ5" s="323"/>
      <c r="BL5" s="323"/>
    </row>
    <row r="6" spans="1:195" ht="15" hidden="1" customHeight="1" outlineLevel="1">
      <c r="A6" s="312" t="s">
        <v>164</v>
      </c>
      <c r="B6" s="313" t="s">
        <v>236</v>
      </c>
      <c r="C6" s="308">
        <v>-0.4</v>
      </c>
      <c r="D6" s="309">
        <v>-4</v>
      </c>
      <c r="E6" s="307">
        <v>0.30000000000000071</v>
      </c>
      <c r="F6" s="303">
        <v>-15.000000000000002</v>
      </c>
      <c r="H6" s="306">
        <v>-19.100000000000001</v>
      </c>
      <c r="J6" s="308">
        <v>-2</v>
      </c>
      <c r="K6" s="309">
        <v>3</v>
      </c>
      <c r="L6" s="307">
        <v>1.6999999999999997</v>
      </c>
      <c r="M6" s="303">
        <f t="shared" si="0"/>
        <v>-6.1999999999999993</v>
      </c>
      <c r="O6" s="310">
        <v>-3.5</v>
      </c>
      <c r="P6" s="5"/>
      <c r="Q6" s="308">
        <v>-2.4</v>
      </c>
      <c r="R6" s="309">
        <v>4.4999999999999662</v>
      </c>
      <c r="S6" s="307">
        <v>-5.3999999999999773</v>
      </c>
      <c r="T6" s="303" t="s">
        <v>92</v>
      </c>
      <c r="V6" s="323">
        <v>13.9</v>
      </c>
      <c r="X6" s="308">
        <v>0.5</v>
      </c>
      <c r="Y6" s="309">
        <f>0.199999999999989-X6</f>
        <v>-0.30000000000001104</v>
      </c>
      <c r="Z6" s="307">
        <f>-1.39999999999998-Y6-X6</f>
        <v>-1.599999999999969</v>
      </c>
      <c r="AA6" s="303">
        <f t="shared" si="3"/>
        <v>1.3999999999999799</v>
      </c>
      <c r="AC6" s="323"/>
      <c r="AD6" s="5"/>
      <c r="AE6" s="308">
        <v>3.5</v>
      </c>
      <c r="AF6" s="309">
        <f>-20.6-AE6</f>
        <v>-24.1</v>
      </c>
      <c r="AG6" s="307">
        <f>-18.6-AF6-AE6</f>
        <v>2</v>
      </c>
      <c r="AH6" s="111"/>
      <c r="AI6" s="5"/>
      <c r="AJ6" s="531"/>
      <c r="AL6" s="403"/>
      <c r="AM6" s="309"/>
      <c r="AN6" s="307"/>
      <c r="AO6" s="323">
        <f t="shared" si="1"/>
        <v>0</v>
      </c>
      <c r="AQ6" s="541"/>
      <c r="AS6" s="308"/>
      <c r="AT6" s="309"/>
      <c r="AU6" s="307"/>
      <c r="AV6" s="323">
        <f t="shared" si="2"/>
        <v>0</v>
      </c>
      <c r="AX6" s="323"/>
      <c r="AZ6" s="308"/>
      <c r="BA6" s="309"/>
      <c r="BB6" s="307"/>
      <c r="BC6" s="323">
        <v>0</v>
      </c>
      <c r="BE6" s="323"/>
      <c r="BG6" s="308"/>
      <c r="BH6" s="309"/>
      <c r="BI6" s="307"/>
      <c r="BJ6" s="323"/>
      <c r="BL6" s="323"/>
    </row>
    <row r="7" spans="1:195" ht="29.15" hidden="1" outlineLevel="1">
      <c r="A7" s="314" t="s">
        <v>165</v>
      </c>
      <c r="B7" s="313" t="s">
        <v>237</v>
      </c>
      <c r="C7" s="308"/>
      <c r="D7" s="309"/>
      <c r="E7" s="307"/>
      <c r="F7" s="303"/>
      <c r="H7" s="315" t="s">
        <v>28</v>
      </c>
      <c r="J7" s="308" t="s">
        <v>28</v>
      </c>
      <c r="K7" s="309">
        <v>3.9</v>
      </c>
      <c r="L7" s="307">
        <v>23</v>
      </c>
      <c r="M7" s="303">
        <f t="shared" si="0"/>
        <v>-9.8999999999999986</v>
      </c>
      <c r="O7" s="310">
        <v>17</v>
      </c>
      <c r="P7" s="5"/>
      <c r="Q7" s="308">
        <v>27.2</v>
      </c>
      <c r="R7" s="309">
        <v>1.8000000000000007</v>
      </c>
      <c r="S7" s="307">
        <v>0</v>
      </c>
      <c r="T7" s="303" t="s">
        <v>92</v>
      </c>
      <c r="V7" s="323">
        <v>30.7</v>
      </c>
      <c r="X7" s="308">
        <v>0.2</v>
      </c>
      <c r="Y7" s="309">
        <f>29.2-X7</f>
        <v>29</v>
      </c>
      <c r="Z7" s="307">
        <f>29.2-Y7-X7</f>
        <v>-7.2164496600635175E-16</v>
      </c>
      <c r="AA7" s="303">
        <f t="shared" si="3"/>
        <v>-29.2</v>
      </c>
      <c r="AC7" s="323"/>
      <c r="AD7" s="5"/>
      <c r="AE7" s="308">
        <v>-1.6</v>
      </c>
      <c r="AF7" s="309">
        <f>-0.1-AE7</f>
        <v>1.5</v>
      </c>
      <c r="AG7" s="307">
        <f>-0.2-AF7-AE7</f>
        <v>-9.9999999999999867E-2</v>
      </c>
      <c r="AH7" s="111"/>
      <c r="AI7" s="5"/>
      <c r="AJ7" s="531"/>
      <c r="AL7" s="403"/>
      <c r="AM7" s="309"/>
      <c r="AN7" s="307"/>
      <c r="AO7" s="323">
        <f t="shared" si="1"/>
        <v>0</v>
      </c>
      <c r="AQ7" s="541"/>
      <c r="AS7" s="308"/>
      <c r="AT7" s="309"/>
      <c r="AU7" s="307"/>
      <c r="AV7" s="323">
        <f t="shared" si="2"/>
        <v>0</v>
      </c>
      <c r="AX7" s="323"/>
      <c r="AZ7" s="308"/>
      <c r="BA7" s="309"/>
      <c r="BB7" s="307"/>
      <c r="BC7" s="323">
        <v>0</v>
      </c>
      <c r="BE7" s="323"/>
      <c r="BG7" s="308"/>
      <c r="BH7" s="309"/>
      <c r="BI7" s="307"/>
      <c r="BJ7" s="323"/>
      <c r="BL7" s="323"/>
    </row>
    <row r="8" spans="1:195" ht="15" hidden="1" customHeight="1" outlineLevel="1">
      <c r="A8" s="312" t="s">
        <v>166</v>
      </c>
      <c r="B8" s="313" t="s">
        <v>238</v>
      </c>
      <c r="C8" s="308">
        <v>14.3</v>
      </c>
      <c r="D8" s="309">
        <v>16.399999999999999</v>
      </c>
      <c r="E8" s="307">
        <v>16.099999999999998</v>
      </c>
      <c r="F8" s="303">
        <v>13.700000000000003</v>
      </c>
      <c r="H8" s="306">
        <v>60.5</v>
      </c>
      <c r="J8" s="308">
        <v>15.4</v>
      </c>
      <c r="K8" s="309">
        <v>20.800000000000004</v>
      </c>
      <c r="L8" s="307">
        <v>20.199999999999996</v>
      </c>
      <c r="M8" s="303">
        <f t="shared" si="0"/>
        <v>21.199999999999996</v>
      </c>
      <c r="O8" s="310">
        <v>77.599999999999994</v>
      </c>
      <c r="P8" s="5"/>
      <c r="Q8" s="308">
        <v>22.3</v>
      </c>
      <c r="R8" s="309">
        <v>19.400000000000002</v>
      </c>
      <c r="S8" s="307">
        <v>20.100000000000001</v>
      </c>
      <c r="T8" s="303" t="s">
        <v>92</v>
      </c>
      <c r="V8" s="323">
        <v>85.6</v>
      </c>
      <c r="X8" s="308">
        <v>24.7</v>
      </c>
      <c r="Y8" s="309">
        <f>42.6-X8</f>
        <v>17.900000000000002</v>
      </c>
      <c r="Z8" s="307">
        <f>64.5-Y8-X8</f>
        <v>21.899999999999995</v>
      </c>
      <c r="AA8" s="303">
        <f t="shared" si="3"/>
        <v>-64.5</v>
      </c>
      <c r="AC8" s="323"/>
      <c r="AD8" s="5"/>
      <c r="AE8" s="308">
        <v>23</v>
      </c>
      <c r="AF8" s="309">
        <f>45.4-AE8</f>
        <v>22.4</v>
      </c>
      <c r="AG8" s="307">
        <f>85.6-AF8-AE8</f>
        <v>40.199999999999996</v>
      </c>
      <c r="AH8" s="111"/>
      <c r="AI8" s="5"/>
      <c r="AJ8" s="531"/>
      <c r="AL8" s="403"/>
      <c r="AM8" s="309"/>
      <c r="AN8" s="307"/>
      <c r="AO8" s="323">
        <f t="shared" si="1"/>
        <v>0</v>
      </c>
      <c r="AQ8" s="541"/>
      <c r="AS8" s="308"/>
      <c r="AT8" s="309"/>
      <c r="AU8" s="307"/>
      <c r="AV8" s="323">
        <f t="shared" si="2"/>
        <v>0</v>
      </c>
      <c r="AX8" s="323"/>
      <c r="AZ8" s="308"/>
      <c r="BA8" s="309"/>
      <c r="BB8" s="307"/>
      <c r="BC8" s="323">
        <v>0</v>
      </c>
      <c r="BE8" s="323"/>
      <c r="BG8" s="308"/>
      <c r="BH8" s="309"/>
      <c r="BI8" s="307"/>
      <c r="BJ8" s="323"/>
      <c r="BL8" s="323"/>
    </row>
    <row r="9" spans="1:195" ht="15" hidden="1" customHeight="1" outlineLevel="1">
      <c r="A9" s="312" t="s">
        <v>167</v>
      </c>
      <c r="B9" s="313" t="s">
        <v>239</v>
      </c>
      <c r="C9" s="308">
        <v>-79.900000000000006</v>
      </c>
      <c r="D9" s="309">
        <v>51.300000000000004</v>
      </c>
      <c r="E9" s="307">
        <v>-61.199999999999996</v>
      </c>
      <c r="F9" s="303">
        <v>66.699999999999989</v>
      </c>
      <c r="H9" s="306">
        <v>-23.1</v>
      </c>
      <c r="J9" s="308">
        <v>1.1000000000000001</v>
      </c>
      <c r="K9" s="309">
        <v>60.199999999999996</v>
      </c>
      <c r="L9" s="307">
        <v>20.000000000000014</v>
      </c>
      <c r="M9" s="303">
        <f t="shared" si="0"/>
        <v>-0.90000000000000568</v>
      </c>
      <c r="O9" s="310">
        <v>80.400000000000006</v>
      </c>
      <c r="P9" s="5"/>
      <c r="Q9" s="308">
        <v>44.8</v>
      </c>
      <c r="R9" s="309">
        <v>41.100000000000009</v>
      </c>
      <c r="S9" s="307">
        <v>109.6</v>
      </c>
      <c r="T9" s="303" t="s">
        <v>92</v>
      </c>
      <c r="V9" s="323">
        <v>282.89999999999998</v>
      </c>
      <c r="X9" s="308">
        <v>27.8</v>
      </c>
      <c r="Y9" s="309">
        <f>236.9-X9</f>
        <v>209.1</v>
      </c>
      <c r="Z9" s="307">
        <f>280.7-Y9-X9</f>
        <v>43.8</v>
      </c>
      <c r="AA9" s="303">
        <f t="shared" si="3"/>
        <v>-280.7</v>
      </c>
      <c r="AC9" s="323"/>
      <c r="AD9" s="5"/>
      <c r="AE9" s="308">
        <v>5.6</v>
      </c>
      <c r="AF9" s="309">
        <f>-10.2-AE9</f>
        <v>-15.799999999999999</v>
      </c>
      <c r="AG9" s="307">
        <f>-62.1-AF9-AE9</f>
        <v>-51.900000000000006</v>
      </c>
      <c r="AH9" s="111"/>
      <c r="AI9" s="5"/>
      <c r="AJ9" s="531"/>
      <c r="AL9" s="403"/>
      <c r="AM9" s="309"/>
      <c r="AN9" s="307"/>
      <c r="AO9" s="323">
        <f t="shared" si="1"/>
        <v>0</v>
      </c>
      <c r="AQ9" s="541"/>
      <c r="AS9" s="308"/>
      <c r="AT9" s="309"/>
      <c r="AU9" s="307"/>
      <c r="AV9" s="323">
        <f t="shared" si="2"/>
        <v>0</v>
      </c>
      <c r="AX9" s="323"/>
      <c r="AZ9" s="308"/>
      <c r="BA9" s="309"/>
      <c r="BB9" s="307"/>
      <c r="BC9" s="323">
        <v>0</v>
      </c>
      <c r="BE9" s="323"/>
      <c r="BG9" s="308"/>
      <c r="BH9" s="309"/>
      <c r="BI9" s="307"/>
      <c r="BJ9" s="323"/>
      <c r="BL9" s="323"/>
    </row>
    <row r="10" spans="1:195" ht="15" customHeight="1" collapsed="1">
      <c r="A10" s="312" t="s">
        <v>168</v>
      </c>
      <c r="B10" s="313" t="s">
        <v>240</v>
      </c>
      <c r="C10" s="308">
        <v>-36.5</v>
      </c>
      <c r="D10" s="309">
        <v>22.5</v>
      </c>
      <c r="E10" s="307">
        <v>-27.4</v>
      </c>
      <c r="F10" s="303">
        <v>17.7</v>
      </c>
      <c r="H10" s="306">
        <v>-23.7</v>
      </c>
      <c r="J10" s="308">
        <v>-4.7</v>
      </c>
      <c r="K10" s="309">
        <v>-23.7</v>
      </c>
      <c r="L10" s="307">
        <v>-6.8999999999999986</v>
      </c>
      <c r="M10" s="303">
        <f t="shared" si="0"/>
        <v>-12</v>
      </c>
      <c r="O10" s="310">
        <v>-47.3</v>
      </c>
      <c r="P10" s="5"/>
      <c r="Q10" s="308">
        <v>20.6</v>
      </c>
      <c r="R10" s="309">
        <v>-30.6</v>
      </c>
      <c r="S10" s="307">
        <v>-22.9</v>
      </c>
      <c r="T10" s="303" t="s">
        <v>92</v>
      </c>
      <c r="V10" s="323">
        <v>-56</v>
      </c>
      <c r="X10" s="308">
        <v>-0.9</v>
      </c>
      <c r="Y10" s="309">
        <f>-7.5-X10</f>
        <v>-6.6</v>
      </c>
      <c r="Z10" s="307">
        <f>-32.2-Y10-X10</f>
        <v>-24.700000000000003</v>
      </c>
      <c r="AA10" s="303">
        <f t="shared" si="3"/>
        <v>-18.199999999999996</v>
      </c>
      <c r="AC10" s="323">
        <v>-50.4</v>
      </c>
      <c r="AD10" s="5"/>
      <c r="AE10" s="308">
        <v>-5.5</v>
      </c>
      <c r="AF10" s="309">
        <f>-69.8-AE10</f>
        <v>-64.3</v>
      </c>
      <c r="AG10" s="307">
        <f>-85.3-AF10-AE10</f>
        <v>-15.5</v>
      </c>
      <c r="AH10" s="111">
        <f>AJ10-AG10-AF10-AE10</f>
        <v>-10.400000000000006</v>
      </c>
      <c r="AI10" s="5"/>
      <c r="AJ10" s="531">
        <v>-95.7</v>
      </c>
      <c r="AL10" s="403">
        <v>-20.7</v>
      </c>
      <c r="AM10" s="309">
        <v>-39.200000000000003</v>
      </c>
      <c r="AN10" s="307">
        <v>-10.399999999999999</v>
      </c>
      <c r="AO10" s="323">
        <f t="shared" si="1"/>
        <v>151.80000000000001</v>
      </c>
      <c r="AQ10" s="541">
        <v>81.5</v>
      </c>
      <c r="AS10" s="308">
        <v>-17.100000000000001</v>
      </c>
      <c r="AT10" s="309">
        <v>-23.2</v>
      </c>
      <c r="AU10" s="307">
        <v>20.399999999999999</v>
      </c>
      <c r="AV10" s="323">
        <f t="shared" si="2"/>
        <v>-2.2000000000000028</v>
      </c>
      <c r="AX10" s="323">
        <v>-22.1</v>
      </c>
      <c r="AZ10" s="308">
        <v>-10.5</v>
      </c>
      <c r="BA10" s="309">
        <v>15.9</v>
      </c>
      <c r="BB10" s="307">
        <v>-17</v>
      </c>
      <c r="BC10" s="323">
        <v>-4</v>
      </c>
      <c r="BE10" s="323">
        <v>-15.6</v>
      </c>
      <c r="BG10" s="308">
        <v>-7.3</v>
      </c>
      <c r="BH10" s="309"/>
      <c r="BI10" s="307"/>
      <c r="BJ10" s="323"/>
      <c r="BL10" s="323"/>
    </row>
    <row r="11" spans="1:195" s="60" customFormat="1" ht="20.149999999999999" customHeight="1" thickBot="1">
      <c r="A11" s="352" t="s">
        <v>311</v>
      </c>
      <c r="B11" s="353" t="s">
        <v>169</v>
      </c>
      <c r="C11" s="354">
        <v>-104.1</v>
      </c>
      <c r="D11" s="355">
        <v>442.29999999999995</v>
      </c>
      <c r="E11" s="356">
        <v>53.100000000000023</v>
      </c>
      <c r="F11" s="357">
        <v>360.90000000000003</v>
      </c>
      <c r="G11"/>
      <c r="H11" s="216">
        <v>752.2</v>
      </c>
      <c r="I11"/>
      <c r="J11" s="354">
        <v>-9.9</v>
      </c>
      <c r="K11" s="355">
        <v>314</v>
      </c>
      <c r="L11" s="356">
        <v>210.39999999999998</v>
      </c>
      <c r="M11" s="357">
        <f t="shared" si="0"/>
        <v>310.30000000000007</v>
      </c>
      <c r="N11"/>
      <c r="O11" s="223">
        <f>SUM(O2:O10)</f>
        <v>824.80000000000007</v>
      </c>
      <c r="P11" s="5"/>
      <c r="Q11" s="354">
        <v>-92.699999999999989</v>
      </c>
      <c r="R11" s="355">
        <v>-93.9</v>
      </c>
      <c r="S11" s="356">
        <v>225.5</v>
      </c>
      <c r="T11" s="357" t="s">
        <v>92</v>
      </c>
      <c r="U11"/>
      <c r="V11" s="324">
        <v>112.6</v>
      </c>
      <c r="W11"/>
      <c r="X11" s="354">
        <v>-225.99999999999997</v>
      </c>
      <c r="Y11" s="355">
        <f>27.9000000000001-X11</f>
        <v>253.90000000000006</v>
      </c>
      <c r="Z11" s="356">
        <f>181.3-Y11-X11</f>
        <v>153.39999999999992</v>
      </c>
      <c r="AA11" s="357">
        <f t="shared" si="3"/>
        <v>27.699999999999989</v>
      </c>
      <c r="AB11" s="122"/>
      <c r="AC11" s="324">
        <v>209</v>
      </c>
      <c r="AD11" s="5"/>
      <c r="AE11" s="354">
        <v>26</v>
      </c>
      <c r="AF11" s="355">
        <f>170.8-AE11</f>
        <v>144.80000000000001</v>
      </c>
      <c r="AG11" s="356">
        <f>326.3-AF11-AE11</f>
        <v>155.5</v>
      </c>
      <c r="AH11" s="115">
        <f>AJ11-AG11-AF11-AE11</f>
        <v>63.099999999999909</v>
      </c>
      <c r="AI11" s="5"/>
      <c r="AJ11" s="532">
        <v>389.39999999999992</v>
      </c>
      <c r="AK11"/>
      <c r="AL11" s="404">
        <v>91.200000000000045</v>
      </c>
      <c r="AM11" s="355">
        <v>78.000000000000028</v>
      </c>
      <c r="AN11" s="356">
        <v>160.60000000000022</v>
      </c>
      <c r="AO11" s="324">
        <f t="shared" si="1"/>
        <v>136.6999999999997</v>
      </c>
      <c r="AP11"/>
      <c r="AQ11" s="542">
        <v>466.5</v>
      </c>
      <c r="AR11"/>
      <c r="AS11" s="354">
        <v>53.099999999999973</v>
      </c>
      <c r="AT11" s="355">
        <v>172.8</v>
      </c>
      <c r="AU11" s="356">
        <v>259.69999999999993</v>
      </c>
      <c r="AV11" s="324">
        <f t="shared" si="2"/>
        <v>224.99999999999966</v>
      </c>
      <c r="AW11"/>
      <c r="AX11" s="324">
        <v>710.59999999999957</v>
      </c>
      <c r="AY11"/>
      <c r="AZ11" s="354">
        <v>319.80000000000018</v>
      </c>
      <c r="BA11" s="355">
        <v>370.2</v>
      </c>
      <c r="BB11" s="356">
        <v>454.49999999999955</v>
      </c>
      <c r="BC11" s="324">
        <v>396.29999999999927</v>
      </c>
      <c r="BD11"/>
      <c r="BE11" s="324">
        <v>1540.799999999999</v>
      </c>
      <c r="BF11"/>
      <c r="BG11" s="354">
        <f>SUM(BG2:BG10)</f>
        <v>369.39999999999981</v>
      </c>
      <c r="BH11" s="355"/>
      <c r="BI11" s="356"/>
      <c r="BJ11" s="324"/>
      <c r="BK11"/>
      <c r="BL11" s="324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</row>
    <row r="12" spans="1:195" s="60" customFormat="1" ht="20.149999999999999" customHeight="1" thickBot="1">
      <c r="A12" s="358" t="s">
        <v>170</v>
      </c>
      <c r="B12" s="359" t="s">
        <v>171</v>
      </c>
      <c r="C12" s="346">
        <f>SUM(C13:C16)</f>
        <v>-382.5</v>
      </c>
      <c r="D12" s="347">
        <f t="shared" ref="D12:F12" si="4">SUM(D13:D16)</f>
        <v>731.69999999999993</v>
      </c>
      <c r="E12" s="348">
        <f t="shared" si="4"/>
        <v>254.30000000000004</v>
      </c>
      <c r="F12" s="349">
        <f t="shared" si="4"/>
        <v>635.89999999999986</v>
      </c>
      <c r="G12"/>
      <c r="H12" s="217">
        <f>SUM(H13:H16)</f>
        <v>1239.3999999999999</v>
      </c>
      <c r="I12"/>
      <c r="J12" s="346">
        <f>SUM(J13:J16)</f>
        <v>-383.70000000000005</v>
      </c>
      <c r="K12" s="347">
        <f t="shared" ref="K12:M12" si="5">SUM(K13:K16)</f>
        <v>994.40000000000009</v>
      </c>
      <c r="L12" s="348">
        <f t="shared" si="5"/>
        <v>6.1999999999999034</v>
      </c>
      <c r="M12" s="349">
        <f t="shared" si="5"/>
        <v>531.50000000000011</v>
      </c>
      <c r="N12"/>
      <c r="O12" s="224">
        <f>SUM(O13:O16)</f>
        <v>1148.4000000000001</v>
      </c>
      <c r="P12" s="5"/>
      <c r="Q12" s="346">
        <f>SUM(Q13:Q16)</f>
        <v>-477.7</v>
      </c>
      <c r="R12" s="347">
        <f t="shared" ref="R12:S12" si="6">SUM(R13:R16)</f>
        <v>6.6999999999999034</v>
      </c>
      <c r="S12" s="348">
        <f t="shared" si="6"/>
        <v>234.5</v>
      </c>
      <c r="T12" s="349" t="s">
        <v>92</v>
      </c>
      <c r="U12"/>
      <c r="V12" s="360">
        <f>SUM(V13:V16)</f>
        <v>-236.79999999999998</v>
      </c>
      <c r="W12"/>
      <c r="X12" s="346">
        <f>SUM(X13:X16)</f>
        <v>124.39999999999998</v>
      </c>
      <c r="Y12" s="347">
        <f t="shared" ref="Y12:AA12" si="7">SUM(Y13:Y16)</f>
        <v>-40.299999999999912</v>
      </c>
      <c r="Z12" s="348">
        <f t="shared" si="7"/>
        <v>456.59999999999991</v>
      </c>
      <c r="AA12" s="349">
        <f t="shared" si="7"/>
        <v>-87.199999999999989</v>
      </c>
      <c r="AB12" s="122"/>
      <c r="AC12" s="360">
        <v>64.800000000000011</v>
      </c>
      <c r="AD12" s="5"/>
      <c r="AE12" s="346">
        <f>SUM(AE13:AE16)</f>
        <v>-108.79999999999995</v>
      </c>
      <c r="AF12" s="347">
        <f t="shared" ref="AF12" si="8">SUM(AF13:AF16)</f>
        <v>-174.60000000000016</v>
      </c>
      <c r="AG12" s="348">
        <f t="shared" ref="AG12" si="9">SUM(AG13:AG16)</f>
        <v>-294.89999999999975</v>
      </c>
      <c r="AH12" s="533">
        <f>AJ12-AG12-AF12-AE12</f>
        <v>239.19999999999985</v>
      </c>
      <c r="AI12" s="5"/>
      <c r="AJ12" s="534">
        <v>-339.1</v>
      </c>
      <c r="AK12"/>
      <c r="AL12" s="405">
        <v>-226.3</v>
      </c>
      <c r="AM12" s="347">
        <v>262.79999999999995</v>
      </c>
      <c r="AN12" s="348">
        <v>-97.19999999999996</v>
      </c>
      <c r="AO12" s="360">
        <f t="shared" si="1"/>
        <v>134.90000000000003</v>
      </c>
      <c r="AP12"/>
      <c r="AQ12" s="543">
        <v>74.2</v>
      </c>
      <c r="AR12"/>
      <c r="AS12" s="346">
        <v>270.39999999999998</v>
      </c>
      <c r="AT12" s="347">
        <v>38</v>
      </c>
      <c r="AU12" s="348">
        <v>27.100000000000023</v>
      </c>
      <c r="AV12" s="360">
        <f t="shared" si="2"/>
        <v>-225.2</v>
      </c>
      <c r="AW12"/>
      <c r="AX12" s="360">
        <v>110.30000000000001</v>
      </c>
      <c r="AY12"/>
      <c r="AZ12" s="346">
        <v>-91.5</v>
      </c>
      <c r="BA12" s="347">
        <v>-342.6</v>
      </c>
      <c r="BB12" s="348">
        <v>283.19999999999982</v>
      </c>
      <c r="BC12" s="360">
        <v>-77.999999999999773</v>
      </c>
      <c r="BD12"/>
      <c r="BE12" s="360">
        <v>-228.89999999999998</v>
      </c>
      <c r="BF12"/>
      <c r="BG12" s="346">
        <v>-363.1</v>
      </c>
      <c r="BH12" s="347"/>
      <c r="BI12" s="348"/>
      <c r="BJ12" s="360"/>
      <c r="BK12"/>
      <c r="BL12" s="360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5" ht="16.399999999999999" hidden="1" customHeight="1" outlineLevel="1">
      <c r="A13" s="331" t="s">
        <v>172</v>
      </c>
      <c r="B13" s="332" t="s">
        <v>173</v>
      </c>
      <c r="C13" s="308">
        <v>-299.2</v>
      </c>
      <c r="D13" s="309">
        <v>-18</v>
      </c>
      <c r="E13" s="307">
        <v>-98.699999999999989</v>
      </c>
      <c r="F13" s="303">
        <v>138.29999999999995</v>
      </c>
      <c r="H13" s="306">
        <v>-277.60000000000002</v>
      </c>
      <c r="J13" s="308">
        <v>-217.3</v>
      </c>
      <c r="K13" s="309">
        <v>65.600000000000023</v>
      </c>
      <c r="L13" s="307">
        <v>-152.30000000000001</v>
      </c>
      <c r="M13" s="303">
        <f t="shared" si="0"/>
        <v>222.9</v>
      </c>
      <c r="O13" s="310">
        <v>-81.099999999999994</v>
      </c>
      <c r="P13" s="5"/>
      <c r="Q13" s="308">
        <v>-428.2</v>
      </c>
      <c r="R13" s="309">
        <v>217.5</v>
      </c>
      <c r="S13" s="307">
        <v>-140.30000000000001</v>
      </c>
      <c r="T13" s="303" t="s">
        <v>92</v>
      </c>
      <c r="V13" s="323">
        <v>-357.3</v>
      </c>
      <c r="X13" s="308">
        <v>-303.60000000000002</v>
      </c>
      <c r="Y13" s="309">
        <f>-115.2-X13</f>
        <v>188.40000000000003</v>
      </c>
      <c r="Z13" s="307">
        <f>-152.7-Y13-X13</f>
        <v>-37.5</v>
      </c>
      <c r="AA13" s="303"/>
      <c r="AC13" s="323"/>
      <c r="AD13" s="5"/>
      <c r="AE13" s="308">
        <v>-252.1</v>
      </c>
      <c r="AF13" s="309">
        <f>-264.3-AE13</f>
        <v>-12.200000000000017</v>
      </c>
      <c r="AG13" s="307">
        <f>-345.4-AF13-AE13</f>
        <v>-81.099999999999937</v>
      </c>
      <c r="AH13" s="111"/>
      <c r="AI13" s="5"/>
      <c r="AJ13" s="531"/>
      <c r="AL13" s="403"/>
      <c r="AM13" s="309"/>
      <c r="AN13" s="307"/>
      <c r="AO13" s="323">
        <f t="shared" si="1"/>
        <v>0</v>
      </c>
      <c r="AQ13" s="541"/>
      <c r="AS13" s="308"/>
      <c r="AT13" s="309"/>
      <c r="AU13" s="307"/>
      <c r="AV13" s="323">
        <f t="shared" si="2"/>
        <v>0</v>
      </c>
      <c r="AX13" s="323"/>
      <c r="AZ13" s="308"/>
      <c r="BA13" s="309"/>
      <c r="BB13" s="307"/>
      <c r="BC13" s="323">
        <v>0</v>
      </c>
      <c r="BE13" s="323"/>
      <c r="BG13" s="308"/>
      <c r="BH13" s="309"/>
      <c r="BI13" s="307"/>
      <c r="BJ13" s="323"/>
      <c r="BL13" s="323"/>
    </row>
    <row r="14" spans="1:195" ht="16.399999999999999" hidden="1" customHeight="1" outlineLevel="1">
      <c r="A14" s="333" t="s">
        <v>174</v>
      </c>
      <c r="B14" s="334" t="s">
        <v>175</v>
      </c>
      <c r="C14" s="308">
        <v>16.399999999999999</v>
      </c>
      <c r="D14" s="309">
        <v>-163.20000000000002</v>
      </c>
      <c r="E14" s="307">
        <v>74.200000000000017</v>
      </c>
      <c r="F14" s="303">
        <v>-27.200000000000003</v>
      </c>
      <c r="H14" s="306">
        <v>-99.8</v>
      </c>
      <c r="J14" s="308">
        <v>-154.9</v>
      </c>
      <c r="K14" s="309">
        <v>178.8</v>
      </c>
      <c r="L14" s="307">
        <v>-58.9</v>
      </c>
      <c r="M14" s="303">
        <f t="shared" si="0"/>
        <v>-38.800000000000004</v>
      </c>
      <c r="O14" s="310">
        <v>-73.8</v>
      </c>
      <c r="P14" s="5"/>
      <c r="Q14" s="308">
        <v>27.4</v>
      </c>
      <c r="R14" s="309">
        <v>75</v>
      </c>
      <c r="S14" s="307">
        <v>-60.2</v>
      </c>
      <c r="T14" s="303" t="s">
        <v>92</v>
      </c>
      <c r="V14" s="323">
        <v>29.3</v>
      </c>
      <c r="X14" s="308">
        <v>46.5</v>
      </c>
      <c r="Y14" s="309">
        <f>74.7-X14</f>
        <v>28.200000000000003</v>
      </c>
      <c r="Z14" s="307">
        <f>35.9-Y14-X14</f>
        <v>-38.800000000000004</v>
      </c>
      <c r="AA14" s="303"/>
      <c r="AC14" s="323"/>
      <c r="AD14" s="5"/>
      <c r="AE14" s="308">
        <v>-34.6</v>
      </c>
      <c r="AF14" s="309">
        <f>-51.5-AE14</f>
        <v>-16.899999999999999</v>
      </c>
      <c r="AG14" s="307">
        <f>-234-AF14-AE14</f>
        <v>-182.5</v>
      </c>
      <c r="AH14" s="111"/>
      <c r="AI14" s="5"/>
      <c r="AJ14" s="531"/>
      <c r="AL14" s="403"/>
      <c r="AM14" s="309"/>
      <c r="AN14" s="307"/>
      <c r="AO14" s="323">
        <f t="shared" si="1"/>
        <v>0</v>
      </c>
      <c r="AQ14" s="541"/>
      <c r="AS14" s="308"/>
      <c r="AT14" s="309"/>
      <c r="AU14" s="307"/>
      <c r="AV14" s="323">
        <f t="shared" si="2"/>
        <v>0</v>
      </c>
      <c r="AX14" s="323"/>
      <c r="AZ14" s="308"/>
      <c r="BA14" s="309"/>
      <c r="BB14" s="307"/>
      <c r="BC14" s="323">
        <v>0</v>
      </c>
      <c r="BE14" s="323"/>
      <c r="BG14" s="308"/>
      <c r="BH14" s="309"/>
      <c r="BI14" s="307"/>
      <c r="BJ14" s="323"/>
      <c r="BL14" s="323"/>
    </row>
    <row r="15" spans="1:195" ht="16.399999999999999" hidden="1" customHeight="1" outlineLevel="1">
      <c r="A15" s="333" t="s">
        <v>176</v>
      </c>
      <c r="B15" s="334" t="s">
        <v>177</v>
      </c>
      <c r="C15" s="308">
        <v>143.6</v>
      </c>
      <c r="D15" s="309">
        <v>325.89999999999998</v>
      </c>
      <c r="E15" s="307">
        <v>125.10000000000002</v>
      </c>
      <c r="F15" s="303">
        <v>26.399999999999977</v>
      </c>
      <c r="H15" s="306">
        <v>621</v>
      </c>
      <c r="J15" s="308">
        <v>185.3</v>
      </c>
      <c r="K15" s="309">
        <v>95.800000000000011</v>
      </c>
      <c r="L15" s="307">
        <v>109.09999999999997</v>
      </c>
      <c r="M15" s="303">
        <f t="shared" si="0"/>
        <v>-73.5</v>
      </c>
      <c r="O15" s="310">
        <v>316.7</v>
      </c>
      <c r="P15" s="5"/>
      <c r="Q15" s="308">
        <v>208.3</v>
      </c>
      <c r="R15" s="309">
        <v>-242.20000000000002</v>
      </c>
      <c r="S15" s="307">
        <v>205</v>
      </c>
      <c r="T15" s="303" t="s">
        <v>92</v>
      </c>
      <c r="V15" s="323">
        <v>153.30000000000001</v>
      </c>
      <c r="X15" s="308">
        <v>432.3</v>
      </c>
      <c r="Y15" s="309">
        <f>68.6-X15</f>
        <v>-363.70000000000005</v>
      </c>
      <c r="Z15" s="307">
        <f>296.5-Y15-X15</f>
        <v>227.90000000000003</v>
      </c>
      <c r="AA15" s="303"/>
      <c r="AC15" s="323"/>
      <c r="AD15" s="5"/>
      <c r="AE15" s="308">
        <v>219.3</v>
      </c>
      <c r="AF15" s="309">
        <f>88.7-AE15</f>
        <v>-130.60000000000002</v>
      </c>
      <c r="AG15" s="307">
        <f>127.1-AF15-AE15</f>
        <v>38.400000000000034</v>
      </c>
      <c r="AH15" s="111"/>
      <c r="AI15" s="5"/>
      <c r="AJ15" s="531"/>
      <c r="AL15" s="403"/>
      <c r="AM15" s="309"/>
      <c r="AN15" s="307"/>
      <c r="AO15" s="323">
        <f t="shared" si="1"/>
        <v>0</v>
      </c>
      <c r="AQ15" s="541"/>
      <c r="AS15" s="308"/>
      <c r="AT15" s="309"/>
      <c r="AU15" s="307"/>
      <c r="AV15" s="323">
        <f t="shared" si="2"/>
        <v>0</v>
      </c>
      <c r="AX15" s="323"/>
      <c r="AZ15" s="308"/>
      <c r="BA15" s="309"/>
      <c r="BB15" s="307"/>
      <c r="BC15" s="323">
        <v>0</v>
      </c>
      <c r="BE15" s="323"/>
      <c r="BG15" s="308"/>
      <c r="BH15" s="309"/>
      <c r="BI15" s="307"/>
      <c r="BJ15" s="323"/>
      <c r="BL15" s="323"/>
    </row>
    <row r="16" spans="1:195" s="60" customFormat="1" ht="20.149999999999999" customHeight="1" collapsed="1" thickBot="1">
      <c r="A16" s="350" t="s">
        <v>178</v>
      </c>
      <c r="B16" s="351" t="s">
        <v>179</v>
      </c>
      <c r="C16" s="346">
        <v>-243.3</v>
      </c>
      <c r="D16" s="347">
        <v>587</v>
      </c>
      <c r="E16" s="348">
        <v>153.69999999999999</v>
      </c>
      <c r="F16" s="349">
        <v>498.4</v>
      </c>
      <c r="G16"/>
      <c r="H16" s="218">
        <v>995.8</v>
      </c>
      <c r="I16"/>
      <c r="J16" s="346">
        <v>-196.8</v>
      </c>
      <c r="K16" s="347">
        <v>654.20000000000005</v>
      </c>
      <c r="L16" s="348">
        <v>108.29999999999995</v>
      </c>
      <c r="M16" s="349">
        <f t="shared" si="0"/>
        <v>420.90000000000009</v>
      </c>
      <c r="N16"/>
      <c r="O16" s="225">
        <f>SUM(O13:O15)+O11</f>
        <v>986.60000000000014</v>
      </c>
      <c r="P16" s="5"/>
      <c r="Q16" s="346">
        <v>-285.2</v>
      </c>
      <c r="R16" s="347">
        <v>-43.60000000000008</v>
      </c>
      <c r="S16" s="348">
        <v>230</v>
      </c>
      <c r="T16" s="349" t="s">
        <v>92</v>
      </c>
      <c r="U16"/>
      <c r="V16" s="326">
        <v>-62.1</v>
      </c>
      <c r="W16"/>
      <c r="X16" s="346">
        <v>-50.800000000000011</v>
      </c>
      <c r="Y16" s="347">
        <f>56.0000000000001-X16</f>
        <v>106.80000000000011</v>
      </c>
      <c r="Z16" s="348">
        <f>361-Y16-X16</f>
        <v>304.99999999999989</v>
      </c>
      <c r="AA16" s="349">
        <f>AC16-Z16-Y16-X16</f>
        <v>-87.199999999999989</v>
      </c>
      <c r="AB16" s="122"/>
      <c r="AC16" s="326">
        <v>273.8</v>
      </c>
      <c r="AD16" s="5"/>
      <c r="AE16" s="346">
        <v>-41.399999999999977</v>
      </c>
      <c r="AF16" s="347">
        <f>-56.3000000000001-AE16</f>
        <v>-14.900000000000119</v>
      </c>
      <c r="AG16" s="348">
        <f>-126-AF16-AE16</f>
        <v>-69.699999999999903</v>
      </c>
      <c r="AH16" s="533">
        <f>AJ16-AG16-AF16-AE16</f>
        <v>176.2999999999999</v>
      </c>
      <c r="AI16" s="5"/>
      <c r="AJ16" s="535">
        <v>50.299999999999898</v>
      </c>
      <c r="AK16"/>
      <c r="AL16" s="405">
        <v>-135.09999999999997</v>
      </c>
      <c r="AM16" s="347">
        <v>340.8</v>
      </c>
      <c r="AN16" s="348">
        <v>63.400000000000269</v>
      </c>
      <c r="AO16" s="326">
        <f t="shared" si="1"/>
        <v>271.59999999999974</v>
      </c>
      <c r="AP16"/>
      <c r="AQ16" s="535">
        <v>540.70000000000005</v>
      </c>
      <c r="AR16"/>
      <c r="AS16" s="346">
        <v>323.49999999999994</v>
      </c>
      <c r="AT16" s="347">
        <v>210.8</v>
      </c>
      <c r="AU16" s="348">
        <v>286.79999999999995</v>
      </c>
      <c r="AV16" s="326">
        <f t="shared" si="2"/>
        <v>-0.20000000000027285</v>
      </c>
      <c r="AW16"/>
      <c r="AX16" s="326">
        <v>820.89999999999964</v>
      </c>
      <c r="AY16"/>
      <c r="AZ16" s="346">
        <v>228.30000000000018</v>
      </c>
      <c r="BA16" s="347">
        <v>27.6</v>
      </c>
      <c r="BB16" s="348">
        <v>737.69999999999936</v>
      </c>
      <c r="BC16" s="326">
        <v>318.29999999999961</v>
      </c>
      <c r="BD16"/>
      <c r="BE16" s="326">
        <v>1311.8999999999992</v>
      </c>
      <c r="BF16"/>
      <c r="BG16" s="346">
        <f>BG11+BG12</f>
        <v>6.299999999999784</v>
      </c>
      <c r="BH16" s="347"/>
      <c r="BI16" s="348"/>
      <c r="BJ16" s="326"/>
      <c r="BK16"/>
      <c r="BL16" s="32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195" ht="16.399999999999999" hidden="1" customHeight="1" outlineLevel="1" thickTop="1">
      <c r="A17" s="331" t="s">
        <v>180</v>
      </c>
      <c r="B17" s="335" t="s">
        <v>246</v>
      </c>
      <c r="C17" s="308">
        <v>7.4</v>
      </c>
      <c r="D17" s="309">
        <v>21.200000000000003</v>
      </c>
      <c r="E17" s="307">
        <v>4</v>
      </c>
      <c r="F17" s="303">
        <v>66.599999999999994</v>
      </c>
      <c r="H17" s="306">
        <v>99.2</v>
      </c>
      <c r="J17" s="308">
        <v>21</v>
      </c>
      <c r="K17" s="309">
        <v>-10.9</v>
      </c>
      <c r="L17" s="307">
        <v>9.2000000000000011</v>
      </c>
      <c r="M17" s="303">
        <f t="shared" si="0"/>
        <v>32.099999999999994</v>
      </c>
      <c r="O17" s="310">
        <v>51.4</v>
      </c>
      <c r="P17" s="5"/>
      <c r="Q17" s="308">
        <v>3.9</v>
      </c>
      <c r="R17" s="309">
        <v>-3.4</v>
      </c>
      <c r="S17" s="307">
        <v>8.8000000000000007</v>
      </c>
      <c r="T17" s="303" t="s">
        <v>92</v>
      </c>
      <c r="V17" s="323">
        <v>9.9</v>
      </c>
      <c r="X17" s="308">
        <v>1.4</v>
      </c>
      <c r="Y17" s="309">
        <f>2.4-X17</f>
        <v>1</v>
      </c>
      <c r="Z17" s="307">
        <f>11.7-Y17-X17</f>
        <v>9.2999999999999989</v>
      </c>
      <c r="AA17" s="303"/>
      <c r="AC17" s="323"/>
      <c r="AD17" s="5"/>
      <c r="AE17" s="308">
        <v>3.8</v>
      </c>
      <c r="AF17" s="309">
        <f>1-AE17</f>
        <v>-2.8</v>
      </c>
      <c r="AG17" s="307">
        <f>1.6-AF17-AE17</f>
        <v>0.60000000000000053</v>
      </c>
      <c r="AH17" s="111"/>
      <c r="AI17" s="5"/>
      <c r="AJ17" s="531"/>
      <c r="AL17" s="403"/>
      <c r="AM17" s="309"/>
      <c r="AN17" s="307"/>
      <c r="AO17" s="323">
        <f t="shared" si="1"/>
        <v>0</v>
      </c>
      <c r="AQ17" s="541"/>
      <c r="AS17" s="308"/>
      <c r="AT17" s="309"/>
      <c r="AU17" s="307"/>
      <c r="AV17" s="323">
        <f t="shared" si="2"/>
        <v>0</v>
      </c>
      <c r="AX17" s="323"/>
      <c r="AZ17" s="308"/>
      <c r="BA17" s="309"/>
      <c r="BB17" s="307"/>
      <c r="BC17" s="323">
        <v>0</v>
      </c>
      <c r="BE17" s="323"/>
      <c r="BG17" s="308"/>
      <c r="BH17" s="309"/>
      <c r="BI17" s="307"/>
      <c r="BJ17" s="323"/>
      <c r="BL17" s="323"/>
    </row>
    <row r="18" spans="1:195" ht="16.399999999999999" hidden="1" customHeight="1" outlineLevel="1">
      <c r="A18" s="316" t="s">
        <v>241</v>
      </c>
      <c r="B18" s="317" t="s">
        <v>247</v>
      </c>
      <c r="C18" s="308"/>
      <c r="D18" s="320"/>
      <c r="E18" s="309"/>
      <c r="F18" s="303"/>
      <c r="H18" s="306"/>
      <c r="J18" s="308"/>
      <c r="K18" s="320"/>
      <c r="L18" s="309"/>
      <c r="M18" s="303"/>
      <c r="O18" s="310"/>
      <c r="P18" s="5"/>
      <c r="Q18" s="308"/>
      <c r="R18" s="320"/>
      <c r="S18" s="309"/>
      <c r="T18" s="303"/>
      <c r="V18" s="323"/>
      <c r="X18" s="308">
        <v>0</v>
      </c>
      <c r="Y18" s="320">
        <v>0</v>
      </c>
      <c r="Z18" s="309">
        <v>0</v>
      </c>
      <c r="AA18" s="303"/>
      <c r="AC18" s="323"/>
      <c r="AD18" s="5"/>
      <c r="AE18" s="308">
        <v>2.7</v>
      </c>
      <c r="AF18" s="320">
        <f>10.4-AE18</f>
        <v>7.7</v>
      </c>
      <c r="AG18" s="309">
        <f>15.3-AF18-AE18</f>
        <v>4.9000000000000004</v>
      </c>
      <c r="AH18" s="111"/>
      <c r="AI18" s="5"/>
      <c r="AJ18" s="531"/>
      <c r="AL18" s="403"/>
      <c r="AM18" s="320"/>
      <c r="AN18" s="309"/>
      <c r="AO18" s="323">
        <f t="shared" si="1"/>
        <v>0</v>
      </c>
      <c r="AQ18" s="541"/>
      <c r="AS18" s="308"/>
      <c r="AT18" s="320"/>
      <c r="AU18" s="309"/>
      <c r="AV18" s="323">
        <f t="shared" si="2"/>
        <v>0</v>
      </c>
      <c r="AX18" s="323"/>
      <c r="AZ18" s="308"/>
      <c r="BA18" s="320"/>
      <c r="BB18" s="309"/>
      <c r="BC18" s="323">
        <v>0</v>
      </c>
      <c r="BE18" s="323"/>
      <c r="BG18" s="308"/>
      <c r="BH18" s="320"/>
      <c r="BI18" s="309"/>
      <c r="BJ18" s="323"/>
      <c r="BL18" s="323"/>
    </row>
    <row r="19" spans="1:195" ht="16.399999999999999" hidden="1" customHeight="1" outlineLevel="1">
      <c r="A19" s="333" t="s">
        <v>181</v>
      </c>
      <c r="B19" s="334" t="s">
        <v>182</v>
      </c>
      <c r="C19" s="308">
        <v>9.1</v>
      </c>
      <c r="D19" s="320">
        <v>-3.5</v>
      </c>
      <c r="E19" s="309">
        <v>-5.6</v>
      </c>
      <c r="F19" s="303">
        <v>16.8</v>
      </c>
      <c r="H19" s="306">
        <v>16.8</v>
      </c>
      <c r="J19" s="308" t="s">
        <v>28</v>
      </c>
      <c r="K19" s="320">
        <v>0</v>
      </c>
      <c r="L19" s="309">
        <v>0</v>
      </c>
      <c r="M19" s="303">
        <f t="shared" si="0"/>
        <v>3.9</v>
      </c>
      <c r="O19" s="310">
        <v>3.9</v>
      </c>
      <c r="P19" s="5"/>
      <c r="Q19" s="308" t="s">
        <v>28</v>
      </c>
      <c r="R19" s="320">
        <v>0</v>
      </c>
      <c r="S19" s="309">
        <v>0</v>
      </c>
      <c r="T19" s="303" t="s">
        <v>92</v>
      </c>
      <c r="V19" s="323">
        <v>0</v>
      </c>
      <c r="X19" s="308">
        <v>0</v>
      </c>
      <c r="Y19" s="320">
        <v>0</v>
      </c>
      <c r="Z19" s="309">
        <v>0</v>
      </c>
      <c r="AA19" s="303"/>
      <c r="AC19" s="323"/>
      <c r="AD19" s="5"/>
      <c r="AE19" s="308">
        <v>0</v>
      </c>
      <c r="AF19" s="320">
        <v>0</v>
      </c>
      <c r="AG19" s="309"/>
      <c r="AH19" s="111"/>
      <c r="AI19" s="5"/>
      <c r="AJ19" s="531"/>
      <c r="AL19" s="403"/>
      <c r="AM19" s="320"/>
      <c r="AN19" s="309"/>
      <c r="AO19" s="323">
        <f t="shared" si="1"/>
        <v>0</v>
      </c>
      <c r="AQ19" s="541"/>
      <c r="AS19" s="308"/>
      <c r="AT19" s="320"/>
      <c r="AU19" s="309"/>
      <c r="AV19" s="323">
        <f t="shared" si="2"/>
        <v>0</v>
      </c>
      <c r="AX19" s="323"/>
      <c r="AZ19" s="308"/>
      <c r="BA19" s="320"/>
      <c r="BB19" s="309"/>
      <c r="BC19" s="323">
        <v>0</v>
      </c>
      <c r="BE19" s="323"/>
      <c r="BG19" s="308"/>
      <c r="BH19" s="320"/>
      <c r="BI19" s="309"/>
      <c r="BJ19" s="323"/>
      <c r="BL19" s="323"/>
    </row>
    <row r="20" spans="1:195" ht="16.399999999999999" hidden="1" customHeight="1" outlineLevel="1">
      <c r="A20" s="336" t="s">
        <v>183</v>
      </c>
      <c r="B20" s="337" t="s">
        <v>184</v>
      </c>
      <c r="C20" s="308"/>
      <c r="D20" s="309"/>
      <c r="E20" s="307"/>
      <c r="F20" s="303"/>
      <c r="H20" s="306" t="s">
        <v>28</v>
      </c>
      <c r="J20" s="308" t="s">
        <v>28</v>
      </c>
      <c r="K20" s="309">
        <v>11.9</v>
      </c>
      <c r="L20" s="307">
        <v>0</v>
      </c>
      <c r="M20" s="303">
        <f t="shared" si="0"/>
        <v>14.9</v>
      </c>
      <c r="O20" s="310">
        <v>26.8</v>
      </c>
      <c r="P20" s="5"/>
      <c r="Q20" s="308" t="s">
        <v>28</v>
      </c>
      <c r="R20" s="309">
        <v>0</v>
      </c>
      <c r="S20" s="307">
        <v>0</v>
      </c>
      <c r="T20" s="303" t="s">
        <v>92</v>
      </c>
      <c r="V20" s="323">
        <v>0</v>
      </c>
      <c r="X20" s="308">
        <v>0</v>
      </c>
      <c r="Y20" s="309">
        <v>0</v>
      </c>
      <c r="Z20" s="307">
        <v>0</v>
      </c>
      <c r="AA20" s="303"/>
      <c r="AC20" s="323"/>
      <c r="AD20" s="5"/>
      <c r="AE20" s="308">
        <v>0</v>
      </c>
      <c r="AF20" s="309">
        <v>0</v>
      </c>
      <c r="AG20" s="307"/>
      <c r="AH20" s="111"/>
      <c r="AI20" s="5"/>
      <c r="AJ20" s="531"/>
      <c r="AL20" s="403"/>
      <c r="AM20" s="309"/>
      <c r="AN20" s="307"/>
      <c r="AO20" s="323">
        <f t="shared" si="1"/>
        <v>0</v>
      </c>
      <c r="AQ20" s="541"/>
      <c r="AS20" s="308"/>
      <c r="AT20" s="309"/>
      <c r="AU20" s="307"/>
      <c r="AV20" s="323">
        <f t="shared" si="2"/>
        <v>0</v>
      </c>
      <c r="AX20" s="323"/>
      <c r="AZ20" s="308"/>
      <c r="BA20" s="309"/>
      <c r="BB20" s="307"/>
      <c r="BC20" s="323">
        <v>0</v>
      </c>
      <c r="BE20" s="323"/>
      <c r="BG20" s="308"/>
      <c r="BH20" s="309"/>
      <c r="BI20" s="307"/>
      <c r="BJ20" s="323"/>
      <c r="BL20" s="323"/>
    </row>
    <row r="21" spans="1:195" ht="16.399999999999999" customHeight="1" collapsed="1" thickTop="1">
      <c r="A21" s="316" t="s">
        <v>263</v>
      </c>
      <c r="B21" s="317" t="s">
        <v>248</v>
      </c>
      <c r="C21" s="308">
        <v>-81.099999999999994</v>
      </c>
      <c r="D21" s="309">
        <v>-50.700000000000017</v>
      </c>
      <c r="E21" s="307">
        <v>-136.30000000000001</v>
      </c>
      <c r="F21" s="303">
        <v>-170.59999999999997</v>
      </c>
      <c r="H21" s="306">
        <v>-438.7</v>
      </c>
      <c r="J21" s="308">
        <v>-117.4</v>
      </c>
      <c r="K21" s="309">
        <v>-146.70000000000002</v>
      </c>
      <c r="L21" s="307">
        <v>-105.69999999999999</v>
      </c>
      <c r="M21" s="303">
        <f t="shared" si="0"/>
        <v>-127.09999999999997</v>
      </c>
      <c r="O21" s="310">
        <f>-496.9</f>
        <v>-496.9</v>
      </c>
      <c r="P21" s="5"/>
      <c r="Q21" s="308">
        <v>-35.200000000000003</v>
      </c>
      <c r="R21" s="309">
        <v>2.8000000000000043</v>
      </c>
      <c r="S21" s="307">
        <v>-169.6</v>
      </c>
      <c r="T21" s="303" t="s">
        <v>92</v>
      </c>
      <c r="V21" s="323">
        <v>-206.4</v>
      </c>
      <c r="X21" s="308">
        <v>-43.8</v>
      </c>
      <c r="Y21" s="309">
        <f>-157-X21</f>
        <v>-113.2</v>
      </c>
      <c r="Z21" s="307">
        <f>-179.9-Y21-X21</f>
        <v>-22.900000000000006</v>
      </c>
      <c r="AA21" s="303">
        <f>AC21-Z21-Y21-X21</f>
        <v>-14.599999999999994</v>
      </c>
      <c r="AC21" s="323">
        <v>-194.5</v>
      </c>
      <c r="AD21" s="5"/>
      <c r="AE21" s="308">
        <v>-42.2</v>
      </c>
      <c r="AF21" s="309">
        <f>-129.3-AE21</f>
        <v>-87.100000000000009</v>
      </c>
      <c r="AG21" s="307">
        <f>-226.4-AF21-AE21</f>
        <v>-97.100000000000009</v>
      </c>
      <c r="AH21" s="111">
        <f>AJ21-AG21-AF21-AE21</f>
        <v>-86.499999999999929</v>
      </c>
      <c r="AI21" s="5"/>
      <c r="AJ21" s="531">
        <v>-312.89999999999998</v>
      </c>
      <c r="AL21" s="403">
        <v>-76.5</v>
      </c>
      <c r="AM21" s="309">
        <v>-169.5</v>
      </c>
      <c r="AN21" s="307">
        <v>-126.10000000000002</v>
      </c>
      <c r="AO21" s="323">
        <f t="shared" si="1"/>
        <v>-83</v>
      </c>
      <c r="AQ21" s="541">
        <v>-455.1</v>
      </c>
      <c r="AS21" s="308">
        <v>-109.1</v>
      </c>
      <c r="AT21" s="309">
        <v>-99.8</v>
      </c>
      <c r="AU21" s="307">
        <v>-55.200000000000017</v>
      </c>
      <c r="AV21" s="323">
        <f t="shared" si="2"/>
        <v>-61</v>
      </c>
      <c r="AX21" s="323">
        <v>-325.10000000000002</v>
      </c>
      <c r="AZ21" s="308">
        <v>-79.7</v>
      </c>
      <c r="BA21" s="309">
        <v>-97.8</v>
      </c>
      <c r="BB21" s="307">
        <v>-139.19999999999999</v>
      </c>
      <c r="BC21" s="323">
        <v>-160.19999999999999</v>
      </c>
      <c r="BE21" s="323">
        <v>-476.9</v>
      </c>
      <c r="BG21" s="308">
        <v>-221.8</v>
      </c>
      <c r="BH21" s="309"/>
      <c r="BI21" s="307"/>
      <c r="BJ21" s="323"/>
      <c r="BL21" s="323"/>
    </row>
    <row r="22" spans="1:195" ht="16.399999999999999" hidden="1" customHeight="1" outlineLevel="1">
      <c r="A22" s="333" t="s">
        <v>185</v>
      </c>
      <c r="B22" s="317" t="s">
        <v>249</v>
      </c>
      <c r="C22" s="308">
        <v>0</v>
      </c>
      <c r="D22" s="309">
        <v>-7.6</v>
      </c>
      <c r="E22" s="307">
        <v>-1.5</v>
      </c>
      <c r="F22" s="303">
        <v>1.5</v>
      </c>
      <c r="H22" s="306">
        <v>-7.6</v>
      </c>
      <c r="J22" s="308">
        <v>-52.1</v>
      </c>
      <c r="K22" s="309">
        <v>-20.100000000000001</v>
      </c>
      <c r="L22" s="307">
        <v>-40.5</v>
      </c>
      <c r="M22" s="303">
        <f t="shared" si="0"/>
        <v>-36.200000000000003</v>
      </c>
      <c r="O22" s="310">
        <v>-148.9</v>
      </c>
      <c r="P22" s="5"/>
      <c r="Q22" s="308">
        <v>-62.7</v>
      </c>
      <c r="R22" s="309">
        <v>62.7</v>
      </c>
      <c r="S22" s="307">
        <v>0</v>
      </c>
      <c r="T22" s="303" t="s">
        <v>92</v>
      </c>
      <c r="V22" s="323">
        <v>0</v>
      </c>
      <c r="X22" s="308">
        <v>0</v>
      </c>
      <c r="Y22" s="309">
        <v>0</v>
      </c>
      <c r="Z22" s="307">
        <v>0</v>
      </c>
      <c r="AA22" s="303"/>
      <c r="AC22" s="323"/>
      <c r="AD22" s="5"/>
      <c r="AE22" s="308">
        <v>0</v>
      </c>
      <c r="AF22" s="309">
        <v>0</v>
      </c>
      <c r="AG22" s="307"/>
      <c r="AH22" s="111"/>
      <c r="AI22" s="5"/>
      <c r="AJ22" s="531"/>
      <c r="AL22" s="403"/>
      <c r="AM22" s="309"/>
      <c r="AN22" s="307"/>
      <c r="AO22" s="323">
        <f t="shared" si="1"/>
        <v>0</v>
      </c>
      <c r="AQ22" s="541"/>
      <c r="AS22" s="308"/>
      <c r="AT22" s="309"/>
      <c r="AU22" s="307"/>
      <c r="AV22" s="323">
        <f t="shared" si="2"/>
        <v>0</v>
      </c>
      <c r="AX22" s="323"/>
      <c r="AZ22" s="308"/>
      <c r="BA22" s="309"/>
      <c r="BB22" s="307"/>
      <c r="BC22" s="323">
        <v>0</v>
      </c>
      <c r="BE22" s="323"/>
      <c r="BG22" s="308"/>
      <c r="BH22" s="309"/>
      <c r="BI22" s="307"/>
      <c r="BJ22" s="323"/>
      <c r="BL22" s="323"/>
    </row>
    <row r="23" spans="1:195" ht="16.399999999999999" hidden="1" customHeight="1" outlineLevel="1">
      <c r="A23" s="316" t="s">
        <v>242</v>
      </c>
      <c r="B23" s="317" t="s">
        <v>250</v>
      </c>
      <c r="C23" s="308">
        <v>0</v>
      </c>
      <c r="D23" s="309">
        <v>-131.1</v>
      </c>
      <c r="E23" s="307">
        <v>-1.3000000000000114</v>
      </c>
      <c r="F23" s="303">
        <v>-82.299999999999983</v>
      </c>
      <c r="H23" s="306">
        <v>-214.7</v>
      </c>
      <c r="J23" s="308">
        <v>-2.5</v>
      </c>
      <c r="K23" s="309">
        <v>-14</v>
      </c>
      <c r="L23" s="307">
        <v>0</v>
      </c>
      <c r="M23" s="303">
        <f t="shared" si="0"/>
        <v>0</v>
      </c>
      <c r="O23" s="310">
        <v>-16.5</v>
      </c>
      <c r="P23" s="5"/>
      <c r="Q23" s="308">
        <v>-7</v>
      </c>
      <c r="R23" s="309">
        <v>0</v>
      </c>
      <c r="S23" s="307">
        <v>0</v>
      </c>
      <c r="T23" s="303" t="s">
        <v>92</v>
      </c>
      <c r="V23" s="323">
        <v>0</v>
      </c>
      <c r="X23" s="308">
        <v>0</v>
      </c>
      <c r="Y23" s="309">
        <v>0</v>
      </c>
      <c r="Z23" s="307">
        <v>0</v>
      </c>
      <c r="AA23" s="303"/>
      <c r="AC23" s="323"/>
      <c r="AD23" s="5"/>
      <c r="AE23" s="308">
        <v>0</v>
      </c>
      <c r="AF23" s="309">
        <v>0</v>
      </c>
      <c r="AG23" s="307"/>
      <c r="AH23" s="111"/>
      <c r="AI23" s="5"/>
      <c r="AJ23" s="531"/>
      <c r="AL23" s="403"/>
      <c r="AM23" s="309"/>
      <c r="AN23" s="307"/>
      <c r="AO23" s="323">
        <f t="shared" si="1"/>
        <v>0</v>
      </c>
      <c r="AQ23" s="541"/>
      <c r="AS23" s="308"/>
      <c r="AT23" s="309"/>
      <c r="AU23" s="307"/>
      <c r="AV23" s="323">
        <f t="shared" si="2"/>
        <v>0</v>
      </c>
      <c r="AX23" s="323"/>
      <c r="AZ23" s="308"/>
      <c r="BA23" s="309"/>
      <c r="BB23" s="307"/>
      <c r="BC23" s="323">
        <v>0</v>
      </c>
      <c r="BE23" s="323"/>
      <c r="BG23" s="308"/>
      <c r="BH23" s="309"/>
      <c r="BI23" s="307"/>
      <c r="BJ23" s="323"/>
      <c r="BL23" s="323"/>
    </row>
    <row r="24" spans="1:195" ht="16.399999999999999" hidden="1" customHeight="1" outlineLevel="1">
      <c r="A24" s="316" t="s">
        <v>243</v>
      </c>
      <c r="B24" s="317" t="s">
        <v>251</v>
      </c>
      <c r="C24" s="308">
        <v>0</v>
      </c>
      <c r="D24" s="309">
        <v>0</v>
      </c>
      <c r="E24" s="307">
        <v>0</v>
      </c>
      <c r="F24" s="303">
        <v>-10.4</v>
      </c>
      <c r="H24" s="306">
        <v>-10.4</v>
      </c>
      <c r="J24" s="308">
        <v>-110.4</v>
      </c>
      <c r="K24" s="309">
        <v>-8</v>
      </c>
      <c r="L24" s="307">
        <v>0</v>
      </c>
      <c r="M24" s="303">
        <f t="shared" si="0"/>
        <v>0</v>
      </c>
      <c r="O24" s="310">
        <v>-118.4</v>
      </c>
      <c r="P24" s="5"/>
      <c r="Q24" s="308">
        <v>0</v>
      </c>
      <c r="R24" s="309">
        <v>0</v>
      </c>
      <c r="S24" s="307">
        <v>0</v>
      </c>
      <c r="T24" s="303" t="s">
        <v>92</v>
      </c>
      <c r="V24" s="323">
        <v>-44</v>
      </c>
      <c r="X24" s="308">
        <v>-8.6999999999999993</v>
      </c>
      <c r="Y24" s="309">
        <f>-X24</f>
        <v>8.6999999999999993</v>
      </c>
      <c r="Z24" s="307">
        <f>0-Y24-X24</f>
        <v>0</v>
      </c>
      <c r="AA24" s="303"/>
      <c r="AC24" s="323"/>
      <c r="AD24" s="5"/>
      <c r="AE24" s="308">
        <v>0</v>
      </c>
      <c r="AF24" s="309">
        <v>0</v>
      </c>
      <c r="AG24" s="307"/>
      <c r="AH24" s="111"/>
      <c r="AI24" s="5"/>
      <c r="AJ24" s="531"/>
      <c r="AL24" s="403"/>
      <c r="AM24" s="309"/>
      <c r="AN24" s="307"/>
      <c r="AO24" s="323">
        <f t="shared" si="1"/>
        <v>0</v>
      </c>
      <c r="AQ24" s="541"/>
      <c r="AS24" s="308"/>
      <c r="AT24" s="309"/>
      <c r="AU24" s="307"/>
      <c r="AV24" s="323">
        <f t="shared" si="2"/>
        <v>0</v>
      </c>
      <c r="AX24" s="323"/>
      <c r="AZ24" s="308"/>
      <c r="BA24" s="309"/>
      <c r="BB24" s="307"/>
      <c r="BC24" s="323">
        <v>0</v>
      </c>
      <c r="BE24" s="323"/>
      <c r="BG24" s="308"/>
      <c r="BH24" s="309"/>
      <c r="BI24" s="307"/>
      <c r="BJ24" s="323"/>
      <c r="BL24" s="323"/>
    </row>
    <row r="25" spans="1:195" ht="16.399999999999999" hidden="1" customHeight="1" outlineLevel="1">
      <c r="A25" s="338" t="s">
        <v>244</v>
      </c>
      <c r="B25" s="339" t="s">
        <v>247</v>
      </c>
      <c r="C25" s="308"/>
      <c r="D25" s="309"/>
      <c r="E25" s="307"/>
      <c r="F25" s="303"/>
      <c r="H25" s="306"/>
      <c r="J25" s="308"/>
      <c r="K25" s="309"/>
      <c r="L25" s="307"/>
      <c r="M25" s="303"/>
      <c r="O25" s="310"/>
      <c r="P25" s="5"/>
      <c r="Q25" s="308"/>
      <c r="R25" s="309"/>
      <c r="S25" s="307"/>
      <c r="T25" s="303"/>
      <c r="V25" s="323"/>
      <c r="X25" s="308">
        <v>0</v>
      </c>
      <c r="Y25" s="309">
        <v>0</v>
      </c>
      <c r="Z25" s="307">
        <v>0</v>
      </c>
      <c r="AA25" s="303"/>
      <c r="AC25" s="323"/>
      <c r="AD25" s="5"/>
      <c r="AE25" s="308">
        <v>0</v>
      </c>
      <c r="AF25" s="309">
        <v>51.5</v>
      </c>
      <c r="AG25" s="307">
        <f>57.5-AF25</f>
        <v>6</v>
      </c>
      <c r="AH25" s="111"/>
      <c r="AI25" s="5"/>
      <c r="AJ25" s="531"/>
      <c r="AL25" s="403"/>
      <c r="AM25" s="309"/>
      <c r="AN25" s="307"/>
      <c r="AO25" s="323">
        <f t="shared" si="1"/>
        <v>0</v>
      </c>
      <c r="AQ25" s="541"/>
      <c r="AS25" s="308"/>
      <c r="AT25" s="309"/>
      <c r="AU25" s="307"/>
      <c r="AV25" s="323">
        <f t="shared" si="2"/>
        <v>0</v>
      </c>
      <c r="AX25" s="323"/>
      <c r="AZ25" s="308"/>
      <c r="BA25" s="309"/>
      <c r="BB25" s="307"/>
      <c r="BC25" s="323">
        <v>0</v>
      </c>
      <c r="BE25" s="323"/>
      <c r="BG25" s="308"/>
      <c r="BH25" s="309"/>
      <c r="BI25" s="307"/>
      <c r="BJ25" s="323"/>
      <c r="BL25" s="323"/>
    </row>
    <row r="26" spans="1:195" ht="16.399999999999999" hidden="1" customHeight="1" outlineLevel="1">
      <c r="A26" s="340" t="s">
        <v>186</v>
      </c>
      <c r="B26" s="339" t="s">
        <v>252</v>
      </c>
      <c r="C26" s="308"/>
      <c r="D26" s="309"/>
      <c r="E26" s="309"/>
      <c r="F26" s="303"/>
      <c r="H26" s="306">
        <v>0</v>
      </c>
      <c r="J26" s="308">
        <v>0</v>
      </c>
      <c r="K26" s="309">
        <v>-5.5</v>
      </c>
      <c r="L26" s="309">
        <v>0</v>
      </c>
      <c r="M26" s="303">
        <f t="shared" si="0"/>
        <v>0</v>
      </c>
      <c r="O26" s="310">
        <v>-5.5</v>
      </c>
      <c r="P26" s="5"/>
      <c r="Q26" s="308">
        <v>0</v>
      </c>
      <c r="R26" s="309">
        <v>-31.6</v>
      </c>
      <c r="S26" s="309">
        <v>-3.1999999999999957</v>
      </c>
      <c r="T26" s="303" t="s">
        <v>92</v>
      </c>
      <c r="V26" s="323">
        <v>-23.2</v>
      </c>
      <c r="X26" s="308">
        <v>-22.1</v>
      </c>
      <c r="Y26" s="309">
        <f>-34.8-X26</f>
        <v>-12.699999999999996</v>
      </c>
      <c r="Z26" s="309">
        <f>-34.8-Y26-X26</f>
        <v>0</v>
      </c>
      <c r="AA26" s="303"/>
      <c r="AC26" s="323"/>
      <c r="AD26" s="5"/>
      <c r="AE26" s="308">
        <v>0</v>
      </c>
      <c r="AF26" s="309">
        <v>0</v>
      </c>
      <c r="AG26" s="309"/>
      <c r="AH26" s="111"/>
      <c r="AI26" s="5"/>
      <c r="AJ26" s="531"/>
      <c r="AL26" s="403"/>
      <c r="AM26" s="309"/>
      <c r="AN26" s="309"/>
      <c r="AO26" s="323">
        <f t="shared" si="1"/>
        <v>0</v>
      </c>
      <c r="AQ26" s="541"/>
      <c r="AS26" s="308"/>
      <c r="AT26" s="309"/>
      <c r="AU26" s="309"/>
      <c r="AV26" s="323">
        <f t="shared" si="2"/>
        <v>0</v>
      </c>
      <c r="AX26" s="323"/>
      <c r="AZ26" s="308"/>
      <c r="BA26" s="309"/>
      <c r="BB26" s="309"/>
      <c r="BC26" s="323">
        <v>0</v>
      </c>
      <c r="BE26" s="323"/>
      <c r="BG26" s="308"/>
      <c r="BH26" s="309"/>
      <c r="BI26" s="309"/>
      <c r="BJ26" s="323"/>
      <c r="BL26" s="323"/>
    </row>
    <row r="27" spans="1:195" ht="16.399999999999999" hidden="1" customHeight="1" outlineLevel="1">
      <c r="A27" s="333" t="s">
        <v>187</v>
      </c>
      <c r="B27" s="317" t="s">
        <v>253</v>
      </c>
      <c r="C27" s="308">
        <v>0</v>
      </c>
      <c r="D27" s="309">
        <v>0</v>
      </c>
      <c r="E27" s="309">
        <v>0</v>
      </c>
      <c r="F27" s="303">
        <v>-65.400000000000006</v>
      </c>
      <c r="H27" s="306">
        <v>-65.400000000000006</v>
      </c>
      <c r="J27" s="308">
        <v>0</v>
      </c>
      <c r="K27" s="309">
        <v>0</v>
      </c>
      <c r="L27" s="309">
        <v>-9.4</v>
      </c>
      <c r="M27" s="303">
        <f t="shared" ref="M27" si="10">O27-SUM(J27:L27)</f>
        <v>-9.9999999999999645E-2</v>
      </c>
      <c r="O27" s="310">
        <v>-9.5</v>
      </c>
      <c r="P27" s="5"/>
      <c r="Q27" s="308">
        <v>0</v>
      </c>
      <c r="R27" s="309">
        <v>0</v>
      </c>
      <c r="S27" s="309">
        <v>0</v>
      </c>
      <c r="T27" s="303" t="s">
        <v>92</v>
      </c>
      <c r="V27" s="323">
        <v>0</v>
      </c>
      <c r="X27" s="308">
        <v>0</v>
      </c>
      <c r="Y27" s="309">
        <v>0</v>
      </c>
      <c r="Z27" s="309">
        <v>0</v>
      </c>
      <c r="AA27" s="303"/>
      <c r="AC27" s="323"/>
      <c r="AD27" s="5"/>
      <c r="AE27" s="308">
        <v>0</v>
      </c>
      <c r="AF27" s="309">
        <v>0</v>
      </c>
      <c r="AG27" s="309"/>
      <c r="AH27" s="111"/>
      <c r="AI27" s="5"/>
      <c r="AJ27" s="531"/>
      <c r="AL27" s="403"/>
      <c r="AM27" s="309"/>
      <c r="AN27" s="309"/>
      <c r="AO27" s="323">
        <f t="shared" si="1"/>
        <v>0</v>
      </c>
      <c r="AQ27" s="541"/>
      <c r="AS27" s="308"/>
      <c r="AT27" s="309"/>
      <c r="AU27" s="309"/>
      <c r="AV27" s="323">
        <f t="shared" si="2"/>
        <v>0</v>
      </c>
      <c r="AX27" s="323"/>
      <c r="AZ27" s="308"/>
      <c r="BA27" s="309"/>
      <c r="BB27" s="309"/>
      <c r="BC27" s="323">
        <v>0</v>
      </c>
      <c r="BE27" s="323"/>
      <c r="BG27" s="308"/>
      <c r="BH27" s="309"/>
      <c r="BI27" s="309"/>
      <c r="BJ27" s="323"/>
      <c r="BL27" s="323"/>
    </row>
    <row r="28" spans="1:195" ht="16.399999999999999" hidden="1" customHeight="1" outlineLevel="1">
      <c r="A28" s="316" t="s">
        <v>245</v>
      </c>
      <c r="B28" s="317" t="s">
        <v>254</v>
      </c>
      <c r="C28" s="308">
        <v>0</v>
      </c>
      <c r="D28" s="309">
        <v>0</v>
      </c>
      <c r="E28" s="309">
        <v>0</v>
      </c>
      <c r="F28" s="303">
        <v>0</v>
      </c>
      <c r="H28" s="306"/>
      <c r="J28" s="308"/>
      <c r="K28" s="309"/>
      <c r="L28" s="309"/>
      <c r="M28" s="303"/>
      <c r="O28" s="310"/>
      <c r="P28" s="5"/>
      <c r="Q28" s="308"/>
      <c r="R28" s="309"/>
      <c r="S28" s="309"/>
      <c r="T28" s="303" t="s">
        <v>92</v>
      </c>
      <c r="V28" s="323">
        <v>-7</v>
      </c>
      <c r="X28" s="308">
        <v>0</v>
      </c>
      <c r="Y28" s="309">
        <v>0</v>
      </c>
      <c r="Z28" s="309">
        <v>0</v>
      </c>
      <c r="AA28" s="303"/>
      <c r="AC28" s="323"/>
      <c r="AD28" s="5"/>
      <c r="AE28" s="308">
        <v>0</v>
      </c>
      <c r="AF28" s="309">
        <v>0</v>
      </c>
      <c r="AG28" s="309"/>
      <c r="AH28" s="111"/>
      <c r="AI28" s="5"/>
      <c r="AJ28" s="531"/>
      <c r="AL28" s="403"/>
      <c r="AM28" s="309"/>
      <c r="AN28" s="309"/>
      <c r="AO28" s="323">
        <f t="shared" si="1"/>
        <v>0</v>
      </c>
      <c r="AQ28" s="541"/>
      <c r="AS28" s="308"/>
      <c r="AT28" s="309"/>
      <c r="AU28" s="309"/>
      <c r="AV28" s="323">
        <f t="shared" si="2"/>
        <v>0</v>
      </c>
      <c r="AX28" s="323"/>
      <c r="AZ28" s="308"/>
      <c r="BA28" s="309"/>
      <c r="BB28" s="309"/>
      <c r="BC28" s="323">
        <v>0</v>
      </c>
      <c r="BE28" s="323"/>
      <c r="BG28" s="308"/>
      <c r="BH28" s="309"/>
      <c r="BI28" s="309"/>
      <c r="BJ28" s="323"/>
      <c r="BL28" s="323"/>
    </row>
    <row r="29" spans="1:195" ht="16.399999999999999" customHeight="1" collapsed="1">
      <c r="A29" s="318" t="s">
        <v>279</v>
      </c>
      <c r="B29" s="367" t="s">
        <v>281</v>
      </c>
      <c r="C29" s="308">
        <f>SUM(C17:C28)-C21</f>
        <v>16.5</v>
      </c>
      <c r="D29" s="309">
        <f t="shared" ref="D29:F29" si="11">SUM(D17:D28)-D21</f>
        <v>-121</v>
      </c>
      <c r="E29" s="309">
        <f t="shared" si="11"/>
        <v>-4.4000000000000057</v>
      </c>
      <c r="F29" s="303">
        <f t="shared" si="11"/>
        <v>-73.199999999999989</v>
      </c>
      <c r="H29" s="306">
        <f>SUM(H17:H28)-H21</f>
        <v>-182.09999999999997</v>
      </c>
      <c r="J29" s="308">
        <f>SUM(J17:J28)-J21</f>
        <v>-143.99999999999997</v>
      </c>
      <c r="K29" s="309">
        <f t="shared" ref="K29" si="12">SUM(K17:K28)-K21</f>
        <v>-46.599999999999994</v>
      </c>
      <c r="L29" s="309">
        <f t="shared" ref="L29" si="13">SUM(L17:L28)-L21</f>
        <v>-40.700000000000017</v>
      </c>
      <c r="M29" s="303">
        <f t="shared" ref="M29" si="14">SUM(M17:M28)-M21</f>
        <v>14.599999999999994</v>
      </c>
      <c r="O29" s="310">
        <f>SUM(O17:O28)-O21</f>
        <v>-216.69999999999993</v>
      </c>
      <c r="P29" s="5"/>
      <c r="Q29" s="308">
        <f>SUM(Q17:Q28)-Q21</f>
        <v>-65.8</v>
      </c>
      <c r="R29" s="309">
        <f t="shared" ref="R29" si="15">SUM(R17:R28)-R21</f>
        <v>27.700000000000003</v>
      </c>
      <c r="S29" s="309">
        <f t="shared" ref="S29" si="16">SUM(S17:S28)-S21</f>
        <v>5.6000000000000227</v>
      </c>
      <c r="T29" s="303" t="s">
        <v>92</v>
      </c>
      <c r="V29" s="323">
        <f>SUM(V17:V28)-V21</f>
        <v>-64.299999999999983</v>
      </c>
      <c r="X29" s="308">
        <f>SUM(X17:X28)-X21</f>
        <v>-29.399999999999991</v>
      </c>
      <c r="Y29" s="309">
        <f t="shared" ref="Y29" si="17">SUM(Y17:Y28)-Y21</f>
        <v>-2.9999999999999858</v>
      </c>
      <c r="Z29" s="309">
        <f t="shared" ref="Z29" si="18">SUM(Z17:Z28)-Z21</f>
        <v>9.2999999999999989</v>
      </c>
      <c r="AA29" s="303">
        <f>AC29-Z29-Y29-X29</f>
        <v>-25.40000000000002</v>
      </c>
      <c r="AC29" s="323">
        <v>-48.5</v>
      </c>
      <c r="AD29" s="5"/>
      <c r="AE29" s="308">
        <f>SUM(AE17:AE28)-AE21</f>
        <v>6.5</v>
      </c>
      <c r="AF29" s="309">
        <f t="shared" ref="AF29" si="19">SUM(AF17:AF28)-AF21</f>
        <v>56.400000000000006</v>
      </c>
      <c r="AG29" s="309">
        <f t="shared" ref="AG29" si="20">SUM(AG17:AG28)-AG21</f>
        <v>11.5</v>
      </c>
      <c r="AH29" s="111">
        <f>AJ29-AG29-AF29-AE29</f>
        <v>19.299999999999983</v>
      </c>
      <c r="AI29" s="5"/>
      <c r="AJ29" s="531">
        <v>93.699999999999989</v>
      </c>
      <c r="AL29" s="403">
        <v>21.1</v>
      </c>
      <c r="AM29" s="309">
        <v>25.900000000000006</v>
      </c>
      <c r="AN29" s="309">
        <v>28.800000000000011</v>
      </c>
      <c r="AO29" s="323">
        <f t="shared" si="1"/>
        <v>-29.800000000000011</v>
      </c>
      <c r="AQ29" s="541">
        <v>46</v>
      </c>
      <c r="AS29" s="308">
        <v>9.5</v>
      </c>
      <c r="AT29" s="309">
        <v>7.8</v>
      </c>
      <c r="AU29" s="309">
        <v>8.9000000000000021</v>
      </c>
      <c r="AV29" s="323">
        <f t="shared" si="2"/>
        <v>-16.700000000000003</v>
      </c>
      <c r="AX29" s="323">
        <v>9.5</v>
      </c>
      <c r="AZ29" s="308">
        <v>17.899999999999999</v>
      </c>
      <c r="BA29" s="309">
        <v>44.400000000000006</v>
      </c>
      <c r="BB29" s="309">
        <v>8.4000000000000092</v>
      </c>
      <c r="BC29" s="323">
        <v>5.7000000000000171</v>
      </c>
      <c r="BE29" s="323">
        <v>76.400000000000034</v>
      </c>
      <c r="BG29" s="308">
        <v>6.2</v>
      </c>
      <c r="BH29" s="309"/>
      <c r="BI29" s="309"/>
      <c r="BJ29" s="323"/>
      <c r="BL29" s="323"/>
    </row>
    <row r="30" spans="1:195" s="60" customFormat="1" ht="20.149999999999999" customHeight="1" thickBot="1">
      <c r="A30" s="350" t="s">
        <v>188</v>
      </c>
      <c r="B30" s="351" t="s">
        <v>189</v>
      </c>
      <c r="C30" s="346">
        <v>-64.599999999999994</v>
      </c>
      <c r="D30" s="347">
        <v>-171.70000000000002</v>
      </c>
      <c r="E30" s="348">
        <v>-140.69999999999999</v>
      </c>
      <c r="F30" s="349">
        <v>-243.79999999999995</v>
      </c>
      <c r="G30"/>
      <c r="H30" s="218">
        <v>-620.79999999999995</v>
      </c>
      <c r="I30"/>
      <c r="J30" s="346">
        <v>-261.39999999999998</v>
      </c>
      <c r="K30" s="347">
        <v>-193.30000000000007</v>
      </c>
      <c r="L30" s="348">
        <v>-146.39999999999998</v>
      </c>
      <c r="M30" s="349">
        <f t="shared" si="0"/>
        <v>-112.49999999999989</v>
      </c>
      <c r="N30"/>
      <c r="O30" s="225">
        <f>SUM(O17:O28)</f>
        <v>-713.59999999999991</v>
      </c>
      <c r="P30" s="5"/>
      <c r="Q30" s="346">
        <v>-101</v>
      </c>
      <c r="R30" s="347">
        <v>30.5</v>
      </c>
      <c r="S30" s="348">
        <v>-164</v>
      </c>
      <c r="T30" s="349" t="s">
        <v>92</v>
      </c>
      <c r="U30"/>
      <c r="V30" s="326">
        <v>-261.8</v>
      </c>
      <c r="W30"/>
      <c r="X30" s="346">
        <v>-73.199999999999989</v>
      </c>
      <c r="Y30" s="347">
        <f>-189.4-X30</f>
        <v>-116.20000000000002</v>
      </c>
      <c r="Z30" s="348">
        <f>-203-Y30-X30</f>
        <v>-13.599999999999994</v>
      </c>
      <c r="AA30" s="349">
        <f>AC30-Z30-Y30-X30</f>
        <v>-40</v>
      </c>
      <c r="AB30" s="122"/>
      <c r="AC30" s="326">
        <v>-243</v>
      </c>
      <c r="AD30" s="5"/>
      <c r="AE30" s="346">
        <v>-35.700000000000003</v>
      </c>
      <c r="AF30" s="347">
        <f>-66.4-AE30</f>
        <v>-30.700000000000003</v>
      </c>
      <c r="AG30" s="348">
        <f>-152-AF30-AE30</f>
        <v>-85.6</v>
      </c>
      <c r="AH30" s="533">
        <f>AJ30-AG30-AF30-AE30</f>
        <v>-67.199999999999989</v>
      </c>
      <c r="AI30" s="5"/>
      <c r="AJ30" s="535">
        <v>-219.2</v>
      </c>
      <c r="AK30"/>
      <c r="AL30" s="405">
        <v>-55.4</v>
      </c>
      <c r="AM30" s="347">
        <v>-143.6</v>
      </c>
      <c r="AN30" s="348">
        <v>-97.300000000000011</v>
      </c>
      <c r="AO30" s="326">
        <f t="shared" si="1"/>
        <v>-112.80000000000001</v>
      </c>
      <c r="AP30"/>
      <c r="AQ30" s="535">
        <v>-409.1</v>
      </c>
      <c r="AR30"/>
      <c r="AS30" s="346">
        <v>-99.6</v>
      </c>
      <c r="AT30" s="347">
        <v>-92</v>
      </c>
      <c r="AU30" s="348">
        <v>-46.300000000000011</v>
      </c>
      <c r="AV30" s="326">
        <f t="shared" si="2"/>
        <v>-77.700000000000017</v>
      </c>
      <c r="AW30"/>
      <c r="AX30" s="326">
        <v>-315.60000000000002</v>
      </c>
      <c r="AY30"/>
      <c r="AZ30" s="346">
        <v>-61.800000000000004</v>
      </c>
      <c r="BA30" s="347">
        <v>-53.4</v>
      </c>
      <c r="BB30" s="348">
        <v>-130.79999999999995</v>
      </c>
      <c r="BC30" s="326">
        <v>-154.5</v>
      </c>
      <c r="BD30"/>
      <c r="BE30" s="326">
        <v>-400.49999999999994</v>
      </c>
      <c r="BF30"/>
      <c r="BG30" s="346">
        <f>SUM(BG21:BG29)</f>
        <v>-215.60000000000002</v>
      </c>
      <c r="BH30" s="347"/>
      <c r="BI30" s="348"/>
      <c r="BJ30" s="326"/>
      <c r="BK30"/>
      <c r="BL30" s="326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</row>
    <row r="31" spans="1:195" ht="16.399999999999999" customHeight="1" thickTop="1">
      <c r="A31" s="116" t="s">
        <v>190</v>
      </c>
      <c r="B31" s="211" t="s">
        <v>191</v>
      </c>
      <c r="C31" s="308">
        <v>49.7</v>
      </c>
      <c r="D31" s="309">
        <v>260.2</v>
      </c>
      <c r="E31" s="307">
        <v>-82.099999999999966</v>
      </c>
      <c r="F31" s="303">
        <v>49.300000000000011</v>
      </c>
      <c r="H31" s="306">
        <v>277.10000000000002</v>
      </c>
      <c r="J31" s="308">
        <v>499.7</v>
      </c>
      <c r="K31" s="309">
        <v>-4.5</v>
      </c>
      <c r="L31" s="307">
        <v>138.00000000000006</v>
      </c>
      <c r="M31" s="303">
        <f t="shared" si="0"/>
        <v>-63.600000000000023</v>
      </c>
      <c r="O31" s="310">
        <v>569.6</v>
      </c>
      <c r="P31" s="5"/>
      <c r="Q31" s="308">
        <v>151.9</v>
      </c>
      <c r="R31" s="309">
        <v>-67</v>
      </c>
      <c r="S31" s="307">
        <v>-25.600000000000009</v>
      </c>
      <c r="T31" s="303" t="s">
        <v>92</v>
      </c>
      <c r="V31" s="323">
        <v>252.1</v>
      </c>
      <c r="X31" s="308">
        <v>82.7</v>
      </c>
      <c r="Y31" s="309">
        <f>2.1-X31</f>
        <v>-80.600000000000009</v>
      </c>
      <c r="Z31" s="307">
        <f>2.1-Y31-X31</f>
        <v>0</v>
      </c>
      <c r="AA31" s="303">
        <f>AC31-X31-Y31-Z31</f>
        <v>250</v>
      </c>
      <c r="AC31" s="323">
        <v>252.1</v>
      </c>
      <c r="AD31" s="5"/>
      <c r="AE31" s="308">
        <v>71.2</v>
      </c>
      <c r="AF31" s="309">
        <f>919.8-AE31</f>
        <v>848.59999999999991</v>
      </c>
      <c r="AG31" s="307">
        <f>839.5-AF31-AE31</f>
        <v>-80.299999999999912</v>
      </c>
      <c r="AH31" s="111">
        <f>AJ31-AE31-AF31-AG31</f>
        <v>99.799999999999912</v>
      </c>
      <c r="AI31" s="5"/>
      <c r="AJ31" s="531">
        <v>939.3</v>
      </c>
      <c r="AL31" s="403">
        <v>0</v>
      </c>
      <c r="AM31" s="309">
        <v>67.400000000000006</v>
      </c>
      <c r="AN31" s="307">
        <v>-11.700000000000003</v>
      </c>
      <c r="AO31" s="323">
        <f t="shared" si="1"/>
        <v>-0.60000000000000142</v>
      </c>
      <c r="AQ31" s="541">
        <v>55.1</v>
      </c>
      <c r="AS31" s="308">
        <v>23.5</v>
      </c>
      <c r="AT31" s="309">
        <v>5.8</v>
      </c>
      <c r="AU31" s="307">
        <v>91.600000000000009</v>
      </c>
      <c r="AV31" s="323">
        <f t="shared" si="2"/>
        <v>-21.100000000000009</v>
      </c>
      <c r="AX31" s="323">
        <v>99.8</v>
      </c>
      <c r="AZ31" s="308">
        <v>165</v>
      </c>
      <c r="BA31" s="309">
        <v>120.1</v>
      </c>
      <c r="BB31" s="307">
        <v>-108.20000000000002</v>
      </c>
      <c r="BC31" s="323">
        <v>630</v>
      </c>
      <c r="BE31" s="323">
        <v>806.9</v>
      </c>
      <c r="BG31" s="308">
        <v>420.2</v>
      </c>
      <c r="BH31" s="309"/>
      <c r="BI31" s="307"/>
      <c r="BJ31" s="323"/>
      <c r="BL31" s="323"/>
    </row>
    <row r="32" spans="1:195" ht="16.399999999999999" customHeight="1">
      <c r="A32" s="117" t="s">
        <v>192</v>
      </c>
      <c r="B32" s="212" t="s">
        <v>193</v>
      </c>
      <c r="C32" s="319">
        <v>0</v>
      </c>
      <c r="D32" s="320">
        <v>209.4</v>
      </c>
      <c r="E32" s="309">
        <v>0</v>
      </c>
      <c r="F32" s="303">
        <v>0.59999999999999432</v>
      </c>
      <c r="H32" s="306">
        <v>210</v>
      </c>
      <c r="J32" s="319">
        <v>0</v>
      </c>
      <c r="K32" s="320">
        <v>0</v>
      </c>
      <c r="L32" s="309">
        <v>0</v>
      </c>
      <c r="M32" s="303">
        <f t="shared" si="0"/>
        <v>0</v>
      </c>
      <c r="O32" s="310">
        <v>0</v>
      </c>
      <c r="P32" s="5"/>
      <c r="Q32" s="319">
        <v>0</v>
      </c>
      <c r="R32" s="320">
        <v>0</v>
      </c>
      <c r="S32" s="309">
        <v>0</v>
      </c>
      <c r="T32" s="303" t="s">
        <v>92</v>
      </c>
      <c r="V32" s="323">
        <v>0</v>
      </c>
      <c r="X32" s="319">
        <v>0</v>
      </c>
      <c r="Y32" s="320">
        <v>0</v>
      </c>
      <c r="Z32" s="309">
        <v>0</v>
      </c>
      <c r="AA32" s="303"/>
      <c r="AC32" s="323">
        <v>0</v>
      </c>
      <c r="AD32" s="5"/>
      <c r="AE32" s="319">
        <v>0</v>
      </c>
      <c r="AF32" s="320">
        <v>0</v>
      </c>
      <c r="AG32" s="309">
        <v>860</v>
      </c>
      <c r="AH32" s="111">
        <v>0</v>
      </c>
      <c r="AI32" s="5"/>
      <c r="AJ32" s="531">
        <v>860</v>
      </c>
      <c r="AL32" s="406">
        <v>0</v>
      </c>
      <c r="AM32" s="320">
        <v>0</v>
      </c>
      <c r="AN32" s="309">
        <v>0</v>
      </c>
      <c r="AO32" s="323">
        <f t="shared" si="1"/>
        <v>0</v>
      </c>
      <c r="AQ32" s="541">
        <v>0</v>
      </c>
      <c r="AS32" s="319">
        <v>0</v>
      </c>
      <c r="AT32" s="320">
        <v>0</v>
      </c>
      <c r="AU32" s="309">
        <v>0</v>
      </c>
      <c r="AV32" s="323">
        <f t="shared" si="2"/>
        <v>0</v>
      </c>
      <c r="AX32" s="323">
        <v>0</v>
      </c>
      <c r="AZ32" s="319"/>
      <c r="BA32" s="320"/>
      <c r="BB32" s="309"/>
      <c r="BC32" s="323">
        <v>0</v>
      </c>
      <c r="BE32" s="323"/>
      <c r="BG32" s="319">
        <v>0</v>
      </c>
      <c r="BH32" s="320"/>
      <c r="BI32" s="309"/>
      <c r="BJ32" s="323"/>
      <c r="BL32" s="323"/>
    </row>
    <row r="33" spans="1:195" ht="16.399999999999999" hidden="1" customHeight="1" outlineLevel="1">
      <c r="A33" s="117" t="s">
        <v>194</v>
      </c>
      <c r="B33" s="212" t="s">
        <v>195</v>
      </c>
      <c r="C33" s="319">
        <v>0</v>
      </c>
      <c r="D33" s="309">
        <v>-209.3</v>
      </c>
      <c r="E33" s="309">
        <v>209.3</v>
      </c>
      <c r="F33" s="303">
        <v>-203</v>
      </c>
      <c r="H33" s="306">
        <v>-203</v>
      </c>
      <c r="J33" s="319">
        <v>0</v>
      </c>
      <c r="K33" s="309">
        <v>-6.8</v>
      </c>
      <c r="L33" s="309">
        <v>-0.10000000000000053</v>
      </c>
      <c r="M33" s="303">
        <f t="shared" si="0"/>
        <v>0</v>
      </c>
      <c r="O33" s="310">
        <v>-6.9</v>
      </c>
      <c r="P33" s="5"/>
      <c r="Q33" s="319">
        <v>0</v>
      </c>
      <c r="R33" s="309">
        <v>0</v>
      </c>
      <c r="S33" s="309">
        <v>0</v>
      </c>
      <c r="T33" s="303" t="s">
        <v>92</v>
      </c>
      <c r="V33" s="323">
        <v>0</v>
      </c>
      <c r="X33" s="319">
        <v>0</v>
      </c>
      <c r="Y33" s="309">
        <v>0</v>
      </c>
      <c r="Z33" s="309">
        <v>0</v>
      </c>
      <c r="AA33" s="303"/>
      <c r="AC33" s="323"/>
      <c r="AD33" s="5"/>
      <c r="AE33" s="319">
        <v>0</v>
      </c>
      <c r="AF33" s="309">
        <v>0</v>
      </c>
      <c r="AG33" s="309"/>
      <c r="AH33" s="111"/>
      <c r="AI33" s="5"/>
      <c r="AJ33" s="531"/>
      <c r="AL33" s="406"/>
      <c r="AM33" s="309"/>
      <c r="AN33" s="309"/>
      <c r="AO33" s="323">
        <f t="shared" si="1"/>
        <v>0</v>
      </c>
      <c r="AQ33" s="541"/>
      <c r="AS33" s="319"/>
      <c r="AT33" s="309"/>
      <c r="AU33" s="309"/>
      <c r="AV33" s="323">
        <f t="shared" si="2"/>
        <v>0</v>
      </c>
      <c r="AX33" s="323"/>
      <c r="AZ33" s="319"/>
      <c r="BA33" s="309"/>
      <c r="BB33" s="309"/>
      <c r="BC33" s="323">
        <v>0</v>
      </c>
      <c r="BE33" s="323"/>
      <c r="BG33" s="319"/>
      <c r="BH33" s="309"/>
      <c r="BI33" s="309"/>
      <c r="BJ33" s="323"/>
      <c r="BL33" s="323"/>
    </row>
    <row r="34" spans="1:195" ht="16.399999999999999" hidden="1" customHeight="1" outlineLevel="1">
      <c r="A34" s="117" t="s">
        <v>196</v>
      </c>
      <c r="B34" s="212" t="s">
        <v>197</v>
      </c>
      <c r="C34" s="319">
        <v>0</v>
      </c>
      <c r="D34" s="320">
        <v>0</v>
      </c>
      <c r="E34" s="309">
        <v>0</v>
      </c>
      <c r="F34" s="303">
        <v>-94.7</v>
      </c>
      <c r="H34" s="306">
        <v>-94.7</v>
      </c>
      <c r="J34" s="319">
        <v>0</v>
      </c>
      <c r="K34" s="320">
        <v>0</v>
      </c>
      <c r="L34" s="309">
        <v>-4.2</v>
      </c>
      <c r="M34" s="303">
        <f t="shared" si="0"/>
        <v>-19.7</v>
      </c>
      <c r="O34" s="310">
        <v>-23.9</v>
      </c>
      <c r="P34" s="5"/>
      <c r="Q34" s="319">
        <v>0</v>
      </c>
      <c r="R34" s="320">
        <v>0</v>
      </c>
      <c r="S34" s="309">
        <v>0</v>
      </c>
      <c r="T34" s="303" t="s">
        <v>92</v>
      </c>
      <c r="V34" s="323">
        <v>0</v>
      </c>
      <c r="X34" s="319">
        <v>0</v>
      </c>
      <c r="Y34" s="320">
        <v>0</v>
      </c>
      <c r="Z34" s="309">
        <v>0</v>
      </c>
      <c r="AA34" s="303"/>
      <c r="AC34" s="323"/>
      <c r="AD34" s="5"/>
      <c r="AE34" s="319">
        <v>-10.5</v>
      </c>
      <c r="AF34" s="320">
        <f>-10.2-AE34</f>
        <v>0.30000000000000071</v>
      </c>
      <c r="AG34" s="309">
        <f>-10.2-AF34-AE34</f>
        <v>0</v>
      </c>
      <c r="AH34" s="111"/>
      <c r="AI34" s="5"/>
      <c r="AJ34" s="531"/>
      <c r="AL34" s="406"/>
      <c r="AM34" s="320"/>
      <c r="AN34" s="309"/>
      <c r="AO34" s="323">
        <f t="shared" si="1"/>
        <v>0</v>
      </c>
      <c r="AQ34" s="541"/>
      <c r="AS34" s="319"/>
      <c r="AT34" s="320"/>
      <c r="AU34" s="309"/>
      <c r="AV34" s="323">
        <f t="shared" si="2"/>
        <v>0</v>
      </c>
      <c r="AX34" s="323"/>
      <c r="AZ34" s="319"/>
      <c r="BA34" s="320"/>
      <c r="BB34" s="309"/>
      <c r="BC34" s="323">
        <v>0</v>
      </c>
      <c r="BE34" s="323"/>
      <c r="BG34" s="319"/>
      <c r="BH34" s="320"/>
      <c r="BI34" s="309"/>
      <c r="BJ34" s="323"/>
      <c r="BL34" s="323"/>
    </row>
    <row r="35" spans="1:195" ht="16.399999999999999" customHeight="1" collapsed="1">
      <c r="A35" s="117" t="s">
        <v>198</v>
      </c>
      <c r="B35" s="212" t="s">
        <v>199</v>
      </c>
      <c r="C35" s="308">
        <v>0</v>
      </c>
      <c r="D35" s="309">
        <v>0</v>
      </c>
      <c r="E35" s="307">
        <v>-209.3</v>
      </c>
      <c r="F35" s="303">
        <v>1.7000000000000171</v>
      </c>
      <c r="H35" s="306">
        <v>-207.6</v>
      </c>
      <c r="J35" s="308">
        <v>-75</v>
      </c>
      <c r="K35" s="309">
        <v>-0.10000000000000853</v>
      </c>
      <c r="L35" s="307">
        <v>0.10000000000000853</v>
      </c>
      <c r="M35" s="303">
        <f t="shared" si="0"/>
        <v>0</v>
      </c>
      <c r="O35" s="310">
        <v>-75</v>
      </c>
      <c r="P35" s="5"/>
      <c r="Q35" s="308">
        <v>0</v>
      </c>
      <c r="R35" s="309">
        <v>0</v>
      </c>
      <c r="S35" s="307">
        <v>0</v>
      </c>
      <c r="T35" s="303" t="s">
        <v>92</v>
      </c>
      <c r="V35" s="323">
        <v>-77.5</v>
      </c>
      <c r="X35" s="308">
        <v>0</v>
      </c>
      <c r="Y35" s="309">
        <v>-50.1</v>
      </c>
      <c r="Z35" s="307">
        <f>-156.5-Y35-X35</f>
        <v>-106.4</v>
      </c>
      <c r="AA35" s="303">
        <f>AC35-Z35-Y35-X35</f>
        <v>-27.599999999999987</v>
      </c>
      <c r="AC35" s="323">
        <v>-184.1</v>
      </c>
      <c r="AD35" s="5"/>
      <c r="AE35" s="308">
        <v>-38.4</v>
      </c>
      <c r="AF35" s="309">
        <f>-878.9-AE35</f>
        <v>-840.5</v>
      </c>
      <c r="AG35" s="307">
        <f>-920.1-AF35-AE35</f>
        <v>-41.200000000000024</v>
      </c>
      <c r="AH35" s="111">
        <f>AJ35-AG35-AF35-AE35</f>
        <v>-58.69999999999991</v>
      </c>
      <c r="AI35" s="5"/>
      <c r="AJ35" s="531">
        <v>-978.8</v>
      </c>
      <c r="AL35" s="403">
        <v>-66.3</v>
      </c>
      <c r="AM35" s="309">
        <v>38</v>
      </c>
      <c r="AN35" s="307">
        <v>-36</v>
      </c>
      <c r="AO35" s="323">
        <f t="shared" si="1"/>
        <v>-80.600000000000009</v>
      </c>
      <c r="AQ35" s="541">
        <v>-144.9</v>
      </c>
      <c r="AS35" s="308">
        <v>-317</v>
      </c>
      <c r="AT35" s="309">
        <v>-170.9</v>
      </c>
      <c r="AU35" s="307">
        <v>-53.100000000000023</v>
      </c>
      <c r="AV35" s="323">
        <f t="shared" si="2"/>
        <v>-59.100000000000023</v>
      </c>
      <c r="AX35" s="323">
        <v>-600.1</v>
      </c>
      <c r="AZ35" s="308">
        <v>-76.3</v>
      </c>
      <c r="BA35" s="309">
        <v>48.3</v>
      </c>
      <c r="BB35" s="307">
        <v>-42.599999999999994</v>
      </c>
      <c r="BC35" s="323">
        <v>-775.6</v>
      </c>
      <c r="BE35" s="323">
        <v>-846.2</v>
      </c>
      <c r="BG35" s="308">
        <v>-347.8</v>
      </c>
      <c r="BH35" s="309"/>
      <c r="BI35" s="307"/>
      <c r="BJ35" s="323"/>
      <c r="BL35" s="323"/>
    </row>
    <row r="36" spans="1:195" ht="16.399999999999999" customHeight="1">
      <c r="A36" s="117" t="s">
        <v>200</v>
      </c>
      <c r="B36" s="321" t="s">
        <v>255</v>
      </c>
      <c r="C36" s="308">
        <v>-113.4</v>
      </c>
      <c r="D36" s="309">
        <v>-88</v>
      </c>
      <c r="E36" s="307">
        <v>-140.1</v>
      </c>
      <c r="F36" s="303">
        <v>-94.399999999999977</v>
      </c>
      <c r="H36" s="306">
        <v>-435.9</v>
      </c>
      <c r="J36" s="308">
        <v>-117.5</v>
      </c>
      <c r="K36" s="309">
        <v>-124.4</v>
      </c>
      <c r="L36" s="307">
        <v>-122.79999999999998</v>
      </c>
      <c r="M36" s="303">
        <f t="shared" si="0"/>
        <v>-126.90000000000003</v>
      </c>
      <c r="O36" s="310">
        <v>-491.6</v>
      </c>
      <c r="P36" s="5"/>
      <c r="Q36" s="308">
        <v>-69</v>
      </c>
      <c r="R36" s="309">
        <v>-129.4</v>
      </c>
      <c r="S36" s="307">
        <v>-104.79999999999998</v>
      </c>
      <c r="T36" s="303" t="s">
        <v>92</v>
      </c>
      <c r="V36" s="323">
        <v>-360.5</v>
      </c>
      <c r="X36" s="308">
        <v>-51.1</v>
      </c>
      <c r="Y36" s="309">
        <f>-187.1-X36</f>
        <v>-136</v>
      </c>
      <c r="Z36" s="307">
        <f>-301.6-Y36-X36</f>
        <v>-114.50000000000003</v>
      </c>
      <c r="AA36" s="303">
        <f>AC36-Z36-Y36-X36</f>
        <v>-61.999999999999993</v>
      </c>
      <c r="AC36" s="323">
        <v>-363.6</v>
      </c>
      <c r="AD36" s="5"/>
      <c r="AE36" s="308">
        <v>-84.4</v>
      </c>
      <c r="AF36" s="309">
        <f>-172.7-AE36</f>
        <v>-88.299999999999983</v>
      </c>
      <c r="AG36" s="307">
        <f>-267.5-AF36-AE36</f>
        <v>-94.800000000000011</v>
      </c>
      <c r="AH36" s="111">
        <f>AJ36-AG36-AF36-AE36</f>
        <v>-78.5</v>
      </c>
      <c r="AI36" s="5"/>
      <c r="AJ36" s="531">
        <v>-346</v>
      </c>
      <c r="AL36" s="403">
        <v>-155.5</v>
      </c>
      <c r="AM36" s="309">
        <v>-61.699999999999989</v>
      </c>
      <c r="AN36" s="307">
        <v>-106.90000000000003</v>
      </c>
      <c r="AO36" s="323">
        <f t="shared" si="1"/>
        <v>-86.5</v>
      </c>
      <c r="AQ36" s="541">
        <v>-410.6</v>
      </c>
      <c r="AS36" s="308">
        <v>-99.3</v>
      </c>
      <c r="AT36" s="309">
        <v>-101.1</v>
      </c>
      <c r="AU36" s="307">
        <v>-91.6</v>
      </c>
      <c r="AV36" s="323">
        <f t="shared" si="2"/>
        <v>-105.60000000000002</v>
      </c>
      <c r="AX36" s="323">
        <v>-397.6</v>
      </c>
      <c r="AZ36" s="308">
        <v>-94.9</v>
      </c>
      <c r="BA36" s="309">
        <v>-98.9</v>
      </c>
      <c r="BB36" s="307">
        <v>-80.399999999999977</v>
      </c>
      <c r="BC36" s="323">
        <v>-79.800000000000011</v>
      </c>
      <c r="BE36" s="323">
        <v>-354</v>
      </c>
      <c r="BG36" s="308">
        <v>-118.5</v>
      </c>
      <c r="BH36" s="309"/>
      <c r="BI36" s="307"/>
      <c r="BJ36" s="323"/>
      <c r="BL36" s="323"/>
    </row>
    <row r="37" spans="1:195" ht="16.399999999999999" hidden="1" customHeight="1">
      <c r="A37" s="117" t="s">
        <v>201</v>
      </c>
      <c r="B37" s="321" t="s">
        <v>256</v>
      </c>
      <c r="C37" s="308">
        <v>-5.6</v>
      </c>
      <c r="D37" s="309">
        <v>-23.700000000000003</v>
      </c>
      <c r="E37" s="307">
        <v>-17.499999999999996</v>
      </c>
      <c r="F37" s="303">
        <v>-13.900000000000006</v>
      </c>
      <c r="H37" s="306">
        <v>-60.7</v>
      </c>
      <c r="J37" s="308">
        <v>-13.6</v>
      </c>
      <c r="K37" s="309">
        <v>-22</v>
      </c>
      <c r="L37" s="307">
        <v>-19.299999999999997</v>
      </c>
      <c r="M37" s="303">
        <f t="shared" si="0"/>
        <v>-22.000000000000007</v>
      </c>
      <c r="O37" s="310">
        <v>-76.900000000000006</v>
      </c>
      <c r="P37" s="5"/>
      <c r="Q37" s="308">
        <v>-14.7</v>
      </c>
      <c r="R37" s="309">
        <v>-14.5</v>
      </c>
      <c r="S37" s="307">
        <v>-19.099999999999998</v>
      </c>
      <c r="T37" s="303" t="s">
        <v>92</v>
      </c>
      <c r="V37" s="323">
        <v>-78.3</v>
      </c>
      <c r="X37" s="308">
        <v>-11</v>
      </c>
      <c r="Y37" s="309">
        <f>-38.3-X37</f>
        <v>-27.299999999999997</v>
      </c>
      <c r="Z37" s="307">
        <f>-53.4-Y37-X37</f>
        <v>-15.100000000000001</v>
      </c>
      <c r="AA37" s="303"/>
      <c r="AC37" s="323"/>
      <c r="AD37" s="5"/>
      <c r="AE37" s="308">
        <v>-15.1</v>
      </c>
      <c r="AF37" s="309">
        <f>-41.8-AE37</f>
        <v>-26.699999999999996</v>
      </c>
      <c r="AG37" s="307">
        <f>-79-AF37-AE37</f>
        <v>-37.200000000000003</v>
      </c>
      <c r="AH37" s="111"/>
      <c r="AI37" s="5"/>
      <c r="AJ37" s="531"/>
      <c r="AL37" s="403"/>
      <c r="AM37" s="309"/>
      <c r="AN37" s="307"/>
      <c r="AO37" s="323">
        <f t="shared" si="1"/>
        <v>0</v>
      </c>
      <c r="AQ37" s="541"/>
      <c r="AS37" s="308"/>
      <c r="AT37" s="309"/>
      <c r="AU37" s="307"/>
      <c r="AV37" s="323">
        <f t="shared" si="2"/>
        <v>0</v>
      </c>
      <c r="AX37" s="323"/>
      <c r="AZ37" s="308"/>
      <c r="BA37" s="309"/>
      <c r="BB37" s="307"/>
      <c r="BC37" s="323">
        <v>0</v>
      </c>
      <c r="BE37" s="323"/>
      <c r="BG37" s="308"/>
      <c r="BH37" s="309"/>
      <c r="BI37" s="307"/>
      <c r="BJ37" s="323"/>
      <c r="BL37" s="323"/>
    </row>
    <row r="38" spans="1:195" ht="16.399999999999999" customHeight="1">
      <c r="A38" s="341" t="s">
        <v>261</v>
      </c>
      <c r="B38" s="342" t="s">
        <v>257</v>
      </c>
      <c r="C38" s="308"/>
      <c r="D38" s="309"/>
      <c r="E38" s="307"/>
      <c r="F38" s="303"/>
      <c r="H38" s="306"/>
      <c r="J38" s="308"/>
      <c r="K38" s="309"/>
      <c r="L38" s="307"/>
      <c r="M38" s="303"/>
      <c r="O38" s="310"/>
      <c r="P38" s="5"/>
      <c r="Q38" s="308"/>
      <c r="R38" s="309">
        <v>506.9</v>
      </c>
      <c r="S38" s="307">
        <v>0</v>
      </c>
      <c r="T38" s="303" t="s">
        <v>92</v>
      </c>
      <c r="V38" s="323">
        <v>506.9</v>
      </c>
      <c r="X38" s="308">
        <v>0</v>
      </c>
      <c r="Y38" s="309">
        <v>506.9</v>
      </c>
      <c r="Z38" s="307">
        <f>506.9-Y38-X38</f>
        <v>0</v>
      </c>
      <c r="AA38" s="303"/>
      <c r="AC38" s="323"/>
      <c r="AD38" s="5"/>
      <c r="AE38" s="308">
        <v>0</v>
      </c>
      <c r="AF38" s="309">
        <v>0</v>
      </c>
      <c r="AG38" s="307"/>
      <c r="AH38" s="111"/>
      <c r="AI38" s="5"/>
      <c r="AJ38" s="531"/>
      <c r="AL38" s="403"/>
      <c r="AM38" s="309"/>
      <c r="AN38" s="307"/>
      <c r="AO38" s="323">
        <f t="shared" si="1"/>
        <v>0</v>
      </c>
      <c r="AQ38" s="541"/>
      <c r="AS38" s="308">
        <v>212.3</v>
      </c>
      <c r="AT38" s="309">
        <v>289.3</v>
      </c>
      <c r="AU38" s="307">
        <v>0</v>
      </c>
      <c r="AV38" s="323">
        <f t="shared" si="2"/>
        <v>0</v>
      </c>
      <c r="AX38" s="323">
        <v>501.6</v>
      </c>
      <c r="AZ38" s="308">
        <v>0</v>
      </c>
      <c r="BA38" s="309"/>
      <c r="BB38" s="307"/>
      <c r="BC38" s="323">
        <v>0</v>
      </c>
      <c r="BE38" s="323"/>
      <c r="BG38" s="308">
        <v>1547.3</v>
      </c>
      <c r="BH38" s="309"/>
      <c r="BI38" s="307"/>
      <c r="BJ38" s="323"/>
      <c r="BL38" s="323"/>
    </row>
    <row r="39" spans="1:195" ht="16.399999999999999" hidden="1" customHeight="1">
      <c r="A39" s="341" t="s">
        <v>262</v>
      </c>
      <c r="B39" s="321" t="s">
        <v>258</v>
      </c>
      <c r="C39" s="308"/>
      <c r="D39" s="309"/>
      <c r="E39" s="307"/>
      <c r="F39" s="303"/>
      <c r="H39" s="306"/>
      <c r="J39" s="308"/>
      <c r="K39" s="309"/>
      <c r="L39" s="307"/>
      <c r="M39" s="303"/>
      <c r="O39" s="310"/>
      <c r="P39" s="5"/>
      <c r="Q39" s="308"/>
      <c r="R39" s="309">
        <v>-2.6</v>
      </c>
      <c r="S39" s="307">
        <v>0</v>
      </c>
      <c r="T39" s="303" t="s">
        <v>92</v>
      </c>
      <c r="V39" s="323">
        <v>-2.7</v>
      </c>
      <c r="X39" s="308">
        <v>0</v>
      </c>
      <c r="Y39" s="309">
        <v>-2.7</v>
      </c>
      <c r="Z39" s="307">
        <f>-2.6-Y39-X39</f>
        <v>0.10000000000000009</v>
      </c>
      <c r="AA39" s="303"/>
      <c r="AC39" s="323"/>
      <c r="AD39" s="5"/>
      <c r="AE39" s="308">
        <v>0</v>
      </c>
      <c r="AF39" s="309"/>
      <c r="AG39" s="307"/>
      <c r="AH39" s="111"/>
      <c r="AI39" s="5"/>
      <c r="AJ39" s="531"/>
      <c r="AL39" s="403"/>
      <c r="AM39" s="309"/>
      <c r="AN39" s="307"/>
      <c r="AO39" s="323">
        <f t="shared" si="1"/>
        <v>0</v>
      </c>
      <c r="AQ39" s="541"/>
      <c r="AS39" s="308"/>
      <c r="AT39" s="309"/>
      <c r="AU39" s="307"/>
      <c r="AV39" s="323">
        <f t="shared" si="2"/>
        <v>0</v>
      </c>
      <c r="AX39" s="323"/>
      <c r="AZ39" s="308"/>
      <c r="BA39" s="309"/>
      <c r="BB39" s="307"/>
      <c r="BC39" s="323">
        <v>0</v>
      </c>
      <c r="BE39" s="323"/>
      <c r="BG39" s="308"/>
      <c r="BH39" s="309"/>
      <c r="BI39" s="307"/>
      <c r="BJ39" s="323"/>
      <c r="BL39" s="323"/>
    </row>
    <row r="40" spans="1:195" ht="16.399999999999999" hidden="1" customHeight="1">
      <c r="A40" s="343" t="s">
        <v>260</v>
      </c>
      <c r="B40" s="342" t="s">
        <v>247</v>
      </c>
      <c r="C40" s="308"/>
      <c r="D40" s="309"/>
      <c r="E40" s="307"/>
      <c r="F40" s="303"/>
      <c r="H40" s="306"/>
      <c r="J40" s="308"/>
      <c r="K40" s="309"/>
      <c r="L40" s="307"/>
      <c r="M40" s="303"/>
      <c r="O40" s="310"/>
      <c r="P40" s="5"/>
      <c r="Q40" s="308"/>
      <c r="R40" s="309"/>
      <c r="S40" s="307"/>
      <c r="T40" s="303"/>
      <c r="V40" s="323"/>
      <c r="X40" s="308">
        <v>0</v>
      </c>
      <c r="Y40" s="309">
        <v>0</v>
      </c>
      <c r="Z40" s="307">
        <v>0</v>
      </c>
      <c r="AA40" s="303"/>
      <c r="AC40" s="323"/>
      <c r="AD40" s="5"/>
      <c r="AE40" s="308">
        <v>0</v>
      </c>
      <c r="AF40" s="309">
        <v>-360</v>
      </c>
      <c r="AG40" s="307">
        <f>-720-AF40</f>
        <v>-360</v>
      </c>
      <c r="AH40" s="111"/>
      <c r="AI40" s="5"/>
      <c r="AJ40" s="531"/>
      <c r="AL40" s="403"/>
      <c r="AM40" s="309"/>
      <c r="AN40" s="307"/>
      <c r="AO40" s="323">
        <f t="shared" si="1"/>
        <v>0</v>
      </c>
      <c r="AQ40" s="541"/>
      <c r="AS40" s="308"/>
      <c r="AT40" s="309"/>
      <c r="AU40" s="307"/>
      <c r="AV40" s="323">
        <f t="shared" si="2"/>
        <v>0</v>
      </c>
      <c r="AX40" s="323"/>
      <c r="AZ40" s="308"/>
      <c r="BA40" s="309"/>
      <c r="BB40" s="307"/>
      <c r="BC40" s="323">
        <v>0</v>
      </c>
      <c r="BE40" s="323"/>
      <c r="BG40" s="308"/>
      <c r="BH40" s="309"/>
      <c r="BI40" s="307"/>
      <c r="BJ40" s="323"/>
      <c r="BL40" s="323"/>
    </row>
    <row r="41" spans="1:195" ht="29.15" hidden="1">
      <c r="A41" s="341" t="s">
        <v>259</v>
      </c>
      <c r="B41" s="342" t="s">
        <v>247</v>
      </c>
      <c r="C41" s="308"/>
      <c r="D41" s="309"/>
      <c r="E41" s="307"/>
      <c r="F41" s="303"/>
      <c r="H41" s="306"/>
      <c r="J41" s="308"/>
      <c r="K41" s="309"/>
      <c r="L41" s="307"/>
      <c r="M41" s="303"/>
      <c r="O41" s="310"/>
      <c r="P41" s="5"/>
      <c r="Q41" s="308"/>
      <c r="R41" s="309"/>
      <c r="S41" s="307"/>
      <c r="T41" s="303"/>
      <c r="V41" s="323"/>
      <c r="X41" s="308">
        <v>0</v>
      </c>
      <c r="Y41" s="309">
        <v>0</v>
      </c>
      <c r="Z41" s="307">
        <v>0</v>
      </c>
      <c r="AA41" s="303"/>
      <c r="AC41" s="323"/>
      <c r="AD41" s="5"/>
      <c r="AE41" s="308">
        <v>0</v>
      </c>
      <c r="AF41" s="309">
        <v>1000</v>
      </c>
      <c r="AG41" s="307">
        <f>1000-AF41</f>
        <v>0</v>
      </c>
      <c r="AH41" s="111"/>
      <c r="AI41" s="5"/>
      <c r="AJ41" s="531"/>
      <c r="AL41" s="403"/>
      <c r="AM41" s="309"/>
      <c r="AN41" s="307"/>
      <c r="AO41" s="323">
        <f t="shared" si="1"/>
        <v>0</v>
      </c>
      <c r="AQ41" s="541"/>
      <c r="AS41" s="308"/>
      <c r="AT41" s="309"/>
      <c r="AU41" s="307"/>
      <c r="AV41" s="323">
        <f t="shared" si="2"/>
        <v>0</v>
      </c>
      <c r="AX41" s="323"/>
      <c r="AZ41" s="308"/>
      <c r="BA41" s="309"/>
      <c r="BB41" s="307"/>
      <c r="BC41" s="323">
        <v>0</v>
      </c>
      <c r="BE41" s="323"/>
      <c r="BG41" s="308"/>
      <c r="BH41" s="309"/>
      <c r="BI41" s="307"/>
      <c r="BJ41" s="323"/>
      <c r="BL41" s="323"/>
    </row>
    <row r="42" spans="1:195">
      <c r="A42" s="341" t="s">
        <v>355</v>
      </c>
      <c r="B42" s="605"/>
      <c r="C42" s="308"/>
      <c r="D42" s="309"/>
      <c r="E42" s="307"/>
      <c r="F42" s="303"/>
      <c r="H42" s="306"/>
      <c r="J42" s="308"/>
      <c r="K42" s="309"/>
      <c r="L42" s="307"/>
      <c r="M42" s="303"/>
      <c r="O42" s="310"/>
      <c r="P42" s="5"/>
      <c r="Q42" s="308"/>
      <c r="R42" s="309"/>
      <c r="S42" s="307"/>
      <c r="T42" s="303"/>
      <c r="V42" s="323"/>
      <c r="X42" s="308"/>
      <c r="Y42" s="309"/>
      <c r="Z42" s="307"/>
      <c r="AA42" s="303"/>
      <c r="AC42" s="323"/>
      <c r="AD42" s="5"/>
      <c r="AE42" s="308"/>
      <c r="AF42" s="309"/>
      <c r="AG42" s="307"/>
      <c r="AH42" s="111"/>
      <c r="AI42" s="5"/>
      <c r="AJ42" s="531"/>
      <c r="AL42" s="403"/>
      <c r="AM42" s="309"/>
      <c r="AN42" s="307"/>
      <c r="AO42" s="323"/>
      <c r="AQ42" s="541"/>
      <c r="AS42" s="308"/>
      <c r="AT42" s="309"/>
      <c r="AU42" s="307"/>
      <c r="AV42" s="323"/>
      <c r="AX42" s="323"/>
      <c r="AZ42" s="308"/>
      <c r="BA42" s="309"/>
      <c r="BB42" s="307"/>
      <c r="BC42" s="323"/>
      <c r="BE42" s="323"/>
      <c r="BG42" s="308">
        <v>-1252.7</v>
      </c>
      <c r="BH42" s="309"/>
      <c r="BI42" s="307"/>
      <c r="BJ42" s="323"/>
      <c r="BL42" s="323"/>
    </row>
    <row r="43" spans="1:195" ht="16.399999999999999" customHeight="1">
      <c r="A43" s="318" t="s">
        <v>279</v>
      </c>
      <c r="B43" s="367" t="s">
        <v>281</v>
      </c>
      <c r="C43" s="308"/>
      <c r="D43" s="309"/>
      <c r="E43" s="309"/>
      <c r="F43" s="303"/>
      <c r="H43" s="306"/>
      <c r="J43" s="308">
        <f>SUM(J31:J41)-J31-J32-J35-J36</f>
        <v>-13.600000000000023</v>
      </c>
      <c r="K43" s="309">
        <f t="shared" ref="K43:O43" si="21">SUM(K31:K41)-K31-K32-K35-K36</f>
        <v>-28.799999999999983</v>
      </c>
      <c r="L43" s="309">
        <f t="shared" si="21"/>
        <v>-23.599999999999994</v>
      </c>
      <c r="M43" s="303">
        <f t="shared" si="21"/>
        <v>-41.699999999999989</v>
      </c>
      <c r="O43" s="310">
        <f t="shared" si="21"/>
        <v>-107.69999999999993</v>
      </c>
      <c r="P43" s="5"/>
      <c r="Q43" s="308">
        <f>SUM(Q31:Q41)-Q31-Q32-Q35-Q36</f>
        <v>-14.700000000000003</v>
      </c>
      <c r="R43" s="309">
        <f t="shared" ref="R43" si="22">SUM(R31:R41)-R31-R32-R35-R36</f>
        <v>489.79999999999995</v>
      </c>
      <c r="S43" s="309">
        <f t="shared" ref="S43" si="23">SUM(S31:S41)-S31-S32-S35-S36</f>
        <v>-19.09999999999998</v>
      </c>
      <c r="T43" s="303" t="s">
        <v>92</v>
      </c>
      <c r="V43" s="323">
        <f t="shared" ref="V43" si="24">SUM(V31:V41)-V31-V32-V35-V36</f>
        <v>425.9</v>
      </c>
      <c r="X43" s="308">
        <f>SUM(X31:X41)-X31-X32-X35-X36</f>
        <v>-11</v>
      </c>
      <c r="Y43" s="309">
        <f t="shared" ref="Y43" si="25">SUM(Y31:Y41)-Y31-Y32-Y35-Y36</f>
        <v>476.9</v>
      </c>
      <c r="Z43" s="309">
        <f t="shared" ref="Z43" si="26">SUM(Z31:Z41)-Z31-Z32-Z35-Z36</f>
        <v>-15</v>
      </c>
      <c r="AA43" s="303">
        <f>AC43-Z43-Y43-X43</f>
        <v>-19.699999999999989</v>
      </c>
      <c r="AC43" s="323">
        <v>431.2</v>
      </c>
      <c r="AD43" s="5"/>
      <c r="AE43" s="308">
        <f>SUM(AE31:AE41)-AE31-AE32-AE35-AE36</f>
        <v>-25.599999999999994</v>
      </c>
      <c r="AF43" s="309">
        <f t="shared" ref="AF43" si="27">SUM(AF31:AF41)-AF31-AF32-AF35-AF36</f>
        <v>613.59999999999991</v>
      </c>
      <c r="AG43" s="309">
        <f t="shared" ref="AG43" si="28">SUM(AG31:AG41)-AG31-AG32-AG35-AG36</f>
        <v>-397.2</v>
      </c>
      <c r="AH43" s="111">
        <f>AJ43-AG43-AF43-AE43</f>
        <v>-13.999999999999915</v>
      </c>
      <c r="AI43" s="5"/>
      <c r="AJ43" s="531">
        <v>176.79999999999995</v>
      </c>
      <c r="AL43" s="403">
        <v>-29.100000000000023</v>
      </c>
      <c r="AM43" s="309">
        <v>-30.499999999999993</v>
      </c>
      <c r="AN43" s="309">
        <v>-46</v>
      </c>
      <c r="AO43" s="323">
        <f t="shared" si="1"/>
        <v>-95.299999999999983</v>
      </c>
      <c r="AQ43" s="541">
        <f>-198.1-2.8</f>
        <v>-200.9</v>
      </c>
      <c r="AS43" s="308">
        <v>-44.4</v>
      </c>
      <c r="AT43" s="309">
        <v>-113.2</v>
      </c>
      <c r="AU43" s="309">
        <v>-40.199999999999989</v>
      </c>
      <c r="AV43" s="323">
        <f t="shared" si="2"/>
        <v>-40.100000000000051</v>
      </c>
      <c r="AX43" s="323">
        <v>-237.90000000000003</v>
      </c>
      <c r="AZ43" s="308">
        <v>-31.4</v>
      </c>
      <c r="BA43" s="309">
        <v>-95.8</v>
      </c>
      <c r="BB43" s="309">
        <v>-32.70000000000001</v>
      </c>
      <c r="BC43" s="323">
        <v>-163.49999999999986</v>
      </c>
      <c r="BE43" s="323">
        <v>-323.39999999999986</v>
      </c>
      <c r="BG43" s="308">
        <v>-50</v>
      </c>
      <c r="BH43" s="309"/>
      <c r="BI43" s="309"/>
      <c r="BJ43" s="323"/>
      <c r="BL43" s="323"/>
    </row>
    <row r="44" spans="1:195" s="60" customFormat="1" ht="20.149999999999999" customHeight="1" thickBot="1">
      <c r="A44" s="344" t="s">
        <v>202</v>
      </c>
      <c r="B44" s="345" t="s">
        <v>203</v>
      </c>
      <c r="C44" s="346">
        <v>-69.3</v>
      </c>
      <c r="D44" s="347">
        <v>148.6</v>
      </c>
      <c r="E44" s="348">
        <v>-239.7</v>
      </c>
      <c r="F44" s="349">
        <v>-354.4</v>
      </c>
      <c r="G44"/>
      <c r="H44" s="218">
        <v>-514.79999999999995</v>
      </c>
      <c r="I44"/>
      <c r="J44" s="346">
        <v>293.60000000000002</v>
      </c>
      <c r="K44" s="347">
        <v>-157.80000000000007</v>
      </c>
      <c r="L44" s="348">
        <v>-8.2999999999999261</v>
      </c>
      <c r="M44" s="349">
        <f t="shared" si="0"/>
        <v>-232.2</v>
      </c>
      <c r="N44"/>
      <c r="O44" s="225">
        <f>SUM(O31:O37)</f>
        <v>-104.69999999999996</v>
      </c>
      <c r="P44" s="5"/>
      <c r="Q44" s="346">
        <v>68.2</v>
      </c>
      <c r="R44" s="347">
        <v>293.39999999999998</v>
      </c>
      <c r="S44" s="348">
        <v>-149.49999999999997</v>
      </c>
      <c r="T44" s="349" t="s">
        <v>92</v>
      </c>
      <c r="U44"/>
      <c r="V44" s="326">
        <v>240</v>
      </c>
      <c r="W44"/>
      <c r="X44" s="346">
        <v>20.6</v>
      </c>
      <c r="Y44" s="347">
        <f>230.8-X44</f>
        <v>210.20000000000002</v>
      </c>
      <c r="Z44" s="348">
        <f>-5.1-Y44-X44</f>
        <v>-235.9</v>
      </c>
      <c r="AA44" s="349">
        <f>AC44-Z44-Y44-X44</f>
        <v>140.69999999999999</v>
      </c>
      <c r="AB44" s="122"/>
      <c r="AC44" s="326">
        <v>135.59999999999997</v>
      </c>
      <c r="AD44" s="5"/>
      <c r="AE44" s="346">
        <v>-77.2</v>
      </c>
      <c r="AF44" s="347">
        <f>456.2-AE44</f>
        <v>533.4</v>
      </c>
      <c r="AG44" s="348">
        <f>702.7-AF44-AE44</f>
        <v>246.50000000000006</v>
      </c>
      <c r="AH44" s="533">
        <f>AJ44-AG44-AF44-AE44</f>
        <v>-51.400000000000077</v>
      </c>
      <c r="AI44" s="5"/>
      <c r="AJ44" s="535">
        <v>651.29999999999995</v>
      </c>
      <c r="AK44"/>
      <c r="AL44" s="405">
        <v>-250.9</v>
      </c>
      <c r="AM44" s="347">
        <v>13.200000000000024</v>
      </c>
      <c r="AN44" s="348">
        <v>-200.60000000000005</v>
      </c>
      <c r="AO44" s="326">
        <f t="shared" si="1"/>
        <v>-238.99999999999989</v>
      </c>
      <c r="AP44"/>
      <c r="AQ44" s="535">
        <v>-677.3</v>
      </c>
      <c r="AR44"/>
      <c r="AS44" s="346">
        <v>-224.89999999999998</v>
      </c>
      <c r="AT44" s="347">
        <v>-90.1</v>
      </c>
      <c r="AU44" s="348">
        <v>-93.3</v>
      </c>
      <c r="AV44" s="326">
        <f t="shared" si="2"/>
        <v>-225.89999999999992</v>
      </c>
      <c r="AW44"/>
      <c r="AX44" s="326">
        <v>-634.19999999999993</v>
      </c>
      <c r="AY44"/>
      <c r="AZ44" s="346">
        <v>-37.6</v>
      </c>
      <c r="BA44" s="347">
        <v>-26.3</v>
      </c>
      <c r="BB44" s="348">
        <v>-263.89999999999998</v>
      </c>
      <c r="BC44" s="326">
        <v>-388.90000000000009</v>
      </c>
      <c r="BD44"/>
      <c r="BE44" s="326">
        <v>-716.7</v>
      </c>
      <c r="BF44"/>
      <c r="BG44" s="346">
        <f>SUM(BG31:BG43)</f>
        <v>198.49999999999977</v>
      </c>
      <c r="BH44" s="347"/>
      <c r="BI44" s="348"/>
      <c r="BJ44" s="326"/>
      <c r="BK44"/>
      <c r="BL44" s="326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</row>
    <row r="45" spans="1:195" ht="21" customHeight="1" thickTop="1" thickBot="1">
      <c r="A45" s="204" t="s">
        <v>204</v>
      </c>
      <c r="B45" s="205" t="s">
        <v>205</v>
      </c>
      <c r="C45" s="207">
        <v>-377.2</v>
      </c>
      <c r="D45" s="206">
        <v>563.9</v>
      </c>
      <c r="E45" s="208">
        <v>-226.7</v>
      </c>
      <c r="F45" s="209">
        <v>-99.800000000000011</v>
      </c>
      <c r="H45" s="219">
        <v>-139.80000000000001</v>
      </c>
      <c r="J45" s="207">
        <v>-164.6</v>
      </c>
      <c r="K45" s="206">
        <v>303.10000000000002</v>
      </c>
      <c r="L45" s="208">
        <v>-46.399999999999949</v>
      </c>
      <c r="M45" s="209">
        <f t="shared" si="0"/>
        <v>76.200000000000188</v>
      </c>
      <c r="O45" s="226">
        <f>O16+O30+O44</f>
        <v>168.30000000000027</v>
      </c>
      <c r="P45" s="5"/>
      <c r="Q45" s="207">
        <v>-318</v>
      </c>
      <c r="R45" s="206">
        <v>280.2999999999999</v>
      </c>
      <c r="S45" s="208">
        <v>-83.499999999999972</v>
      </c>
      <c r="T45" s="209" t="s">
        <v>92</v>
      </c>
      <c r="V45" s="327">
        <v>-83.9</v>
      </c>
      <c r="X45" s="207">
        <v>-103.4</v>
      </c>
      <c r="Y45" s="206">
        <f>97.4000000000001-X45</f>
        <v>200.80000000000013</v>
      </c>
      <c r="Z45" s="208">
        <f>152.9-Y45-X45</f>
        <v>55.499999999999886</v>
      </c>
      <c r="AA45" s="209">
        <f>AC45-Z45-Y45-X45</f>
        <v>13.499999999999972</v>
      </c>
      <c r="AC45" s="327">
        <v>166.39999999999998</v>
      </c>
      <c r="AD45" s="5"/>
      <c r="AE45" s="207">
        <v>-154.29999999999998</v>
      </c>
      <c r="AF45" s="206">
        <f>333.5-AE45</f>
        <v>487.79999999999995</v>
      </c>
      <c r="AG45" s="208">
        <f>424.7-AF45-AE45</f>
        <v>91.200000000000017</v>
      </c>
      <c r="AH45" s="533">
        <f>AJ45-AG45-AF45-AE45</f>
        <v>57.699999999999847</v>
      </c>
      <c r="AI45" s="5"/>
      <c r="AJ45" s="535">
        <v>482.39999999999986</v>
      </c>
      <c r="AL45" s="407">
        <v>-441.4</v>
      </c>
      <c r="AM45" s="206">
        <v>210.39999999999998</v>
      </c>
      <c r="AN45" s="208">
        <v>-234.49999999999983</v>
      </c>
      <c r="AO45" s="327">
        <f t="shared" si="1"/>
        <v>-80.200000000000216</v>
      </c>
      <c r="AQ45" s="535">
        <v>-545.70000000000005</v>
      </c>
      <c r="AS45" s="207">
        <v>-1.0000000000000568</v>
      </c>
      <c r="AT45" s="206">
        <v>28.7</v>
      </c>
      <c r="AU45" s="208">
        <v>147.19999999999993</v>
      </c>
      <c r="AV45" s="327">
        <f t="shared" si="2"/>
        <v>-303.80000000000018</v>
      </c>
      <c r="AX45" s="327">
        <v>-128.90000000000032</v>
      </c>
      <c r="AZ45" s="207">
        <v>128.90000000000018</v>
      </c>
      <c r="BA45" s="206">
        <v>-52.1</v>
      </c>
      <c r="BB45" s="208">
        <v>342.99999999999943</v>
      </c>
      <c r="BC45" s="327">
        <v>-225.10000000000048</v>
      </c>
      <c r="BE45" s="327">
        <v>194.69999999999914</v>
      </c>
      <c r="BG45" s="207">
        <v>-10.800000000000367</v>
      </c>
      <c r="BH45" s="206"/>
      <c r="BI45" s="208"/>
      <c r="BJ45" s="327"/>
      <c r="BL45" s="327"/>
    </row>
    <row r="46" spans="1:195" ht="29.6" hidden="1" outlineLevel="1" thickTop="1">
      <c r="A46" s="116" t="s">
        <v>206</v>
      </c>
      <c r="B46" s="211" t="s">
        <v>207</v>
      </c>
      <c r="C46" s="109">
        <v>-377.8</v>
      </c>
      <c r="D46" s="110">
        <v>575.4</v>
      </c>
      <c r="E46" s="108">
        <v>-233.2</v>
      </c>
      <c r="F46" s="111">
        <v>-100.30000000000001</v>
      </c>
      <c r="H46" s="215">
        <v>-135.9</v>
      </c>
      <c r="J46" s="109">
        <v>-165.1</v>
      </c>
      <c r="K46" s="110">
        <v>301.7</v>
      </c>
      <c r="L46" s="108">
        <v>-45.199999999999989</v>
      </c>
      <c r="M46" s="111">
        <f t="shared" si="0"/>
        <v>75.400000000000006</v>
      </c>
      <c r="O46" s="222">
        <v>166.8</v>
      </c>
      <c r="P46" s="5"/>
      <c r="Q46" s="109">
        <v>-317.2</v>
      </c>
      <c r="R46" s="110">
        <v>280.2</v>
      </c>
      <c r="S46" s="108">
        <v>-83.3</v>
      </c>
      <c r="T46" s="111" t="s">
        <v>92</v>
      </c>
      <c r="V46" s="325">
        <v>-83.8</v>
      </c>
      <c r="X46" s="109">
        <v>-102.6</v>
      </c>
      <c r="Y46" s="110">
        <f>98-X46</f>
        <v>200.6</v>
      </c>
      <c r="Z46" s="108">
        <f>155.2-Y46-X46</f>
        <v>57.199999999999989</v>
      </c>
      <c r="AA46" s="111"/>
      <c r="AC46" s="325"/>
      <c r="AD46" s="5"/>
      <c r="AE46" s="109">
        <v>-154.19999999999999</v>
      </c>
      <c r="AF46" s="110">
        <f>333.5-AE46</f>
        <v>487.7</v>
      </c>
      <c r="AG46" s="108">
        <f>424.7-AF46-AE46</f>
        <v>91.199999999999989</v>
      </c>
      <c r="AH46" s="111"/>
      <c r="AI46" s="5"/>
      <c r="AJ46" s="536"/>
      <c r="AL46" s="408"/>
      <c r="AM46" s="110"/>
      <c r="AN46" s="108"/>
      <c r="AO46" s="325">
        <f t="shared" si="1"/>
        <v>0</v>
      </c>
      <c r="AQ46" s="544"/>
      <c r="AS46" s="109"/>
      <c r="AT46" s="110"/>
      <c r="AU46" s="108"/>
      <c r="AV46" s="325">
        <f t="shared" si="2"/>
        <v>0</v>
      </c>
      <c r="AX46" s="325"/>
      <c r="AZ46" s="109"/>
      <c r="BA46" s="110"/>
      <c r="BB46" s="108"/>
      <c r="BC46" s="325"/>
      <c r="BE46" s="325"/>
      <c r="BG46" s="109"/>
      <c r="BH46" s="110"/>
      <c r="BI46" s="108"/>
      <c r="BJ46" s="325"/>
      <c r="BL46" s="325"/>
    </row>
    <row r="47" spans="1:195" ht="29.6" hidden="1" outlineLevel="1" thickTop="1">
      <c r="A47" s="117" t="s">
        <v>208</v>
      </c>
      <c r="B47" s="212" t="s">
        <v>209</v>
      </c>
      <c r="C47" s="109">
        <v>-0.6</v>
      </c>
      <c r="D47" s="110">
        <v>11.5</v>
      </c>
      <c r="E47" s="108">
        <v>-6.5</v>
      </c>
      <c r="F47" s="111">
        <v>-0.50000000000000044</v>
      </c>
      <c r="H47" s="215">
        <v>3.9</v>
      </c>
      <c r="J47" s="109">
        <v>-0.5</v>
      </c>
      <c r="K47" s="110">
        <v>-1.4</v>
      </c>
      <c r="L47" s="108">
        <v>1.2</v>
      </c>
      <c r="M47" s="111">
        <f t="shared" si="0"/>
        <v>-0.8</v>
      </c>
      <c r="O47" s="222">
        <v>-1.5</v>
      </c>
      <c r="P47" s="5"/>
      <c r="Q47" s="109">
        <v>0.8</v>
      </c>
      <c r="R47" s="110">
        <v>-0.10000000000000009</v>
      </c>
      <c r="S47" s="108">
        <v>0.20000000000000007</v>
      </c>
      <c r="T47" s="111" t="s">
        <v>92</v>
      </c>
      <c r="V47" s="325">
        <v>0.1</v>
      </c>
      <c r="X47" s="109">
        <v>0.8</v>
      </c>
      <c r="Y47" s="110">
        <f>0.6-X47</f>
        <v>-0.20000000000000007</v>
      </c>
      <c r="Z47" s="108">
        <f>2.3-Y47-X47</f>
        <v>1.7</v>
      </c>
      <c r="AA47" s="111"/>
      <c r="AC47" s="325"/>
      <c r="AD47" s="5"/>
      <c r="AE47" s="109">
        <v>0.1</v>
      </c>
      <c r="AF47" s="110">
        <f>-AE47</f>
        <v>-0.1</v>
      </c>
      <c r="AG47" s="108">
        <f>0-AF47-AE47</f>
        <v>0</v>
      </c>
      <c r="AH47" s="111"/>
      <c r="AI47" s="5"/>
      <c r="AJ47" s="536"/>
      <c r="AL47" s="408"/>
      <c r="AM47" s="110"/>
      <c r="AN47" s="108"/>
      <c r="AO47" s="325">
        <f t="shared" si="1"/>
        <v>0</v>
      </c>
      <c r="AQ47" s="544"/>
      <c r="AS47" s="109"/>
      <c r="AT47" s="110"/>
      <c r="AU47" s="108"/>
      <c r="AV47" s="325">
        <f t="shared" si="2"/>
        <v>0</v>
      </c>
      <c r="AX47" s="325"/>
      <c r="AZ47" s="109"/>
      <c r="BA47" s="110"/>
      <c r="BB47" s="108"/>
      <c r="BC47" s="325"/>
      <c r="BE47" s="325"/>
      <c r="BG47" s="109"/>
      <c r="BH47" s="110"/>
      <c r="BI47" s="108"/>
      <c r="BJ47" s="325"/>
      <c r="BL47" s="325"/>
    </row>
    <row r="48" spans="1:195" ht="20.149999999999999" hidden="1" customHeight="1" outlineLevel="1" thickBot="1">
      <c r="A48" s="31" t="s">
        <v>210</v>
      </c>
      <c r="B48" s="34" t="s">
        <v>211</v>
      </c>
      <c r="C48" s="112">
        <v>511.6</v>
      </c>
      <c r="D48" s="113">
        <v>134.4</v>
      </c>
      <c r="E48" s="114">
        <v>700.7</v>
      </c>
      <c r="F48" s="115">
        <v>471.6</v>
      </c>
      <c r="H48" s="216">
        <v>514.1</v>
      </c>
      <c r="J48" s="112">
        <v>374.3</v>
      </c>
      <c r="K48" s="113">
        <f>J49</f>
        <v>209.7</v>
      </c>
      <c r="L48" s="114">
        <v>512.79999999999995</v>
      </c>
      <c r="M48" s="115">
        <f>L49</f>
        <v>466.4</v>
      </c>
      <c r="O48" s="223">
        <v>374.3</v>
      </c>
      <c r="P48" s="5"/>
      <c r="Q48" s="112">
        <v>542.6</v>
      </c>
      <c r="R48" s="113">
        <f>Q49</f>
        <v>224.6</v>
      </c>
      <c r="S48" s="114">
        <v>280.3</v>
      </c>
      <c r="T48" s="115" t="s">
        <v>92</v>
      </c>
      <c r="V48" s="324">
        <v>542.6</v>
      </c>
      <c r="X48" s="112">
        <v>292.3</v>
      </c>
      <c r="Y48" s="113">
        <f>X49</f>
        <v>188.9</v>
      </c>
      <c r="Z48" s="114">
        <f>Y49</f>
        <v>389.70000000000016</v>
      </c>
      <c r="AA48" s="115"/>
      <c r="AC48" s="324"/>
      <c r="AD48" s="5"/>
      <c r="AE48" s="112">
        <v>458.8</v>
      </c>
      <c r="AF48" s="113">
        <f>AE49</f>
        <v>304.5</v>
      </c>
      <c r="AG48" s="114">
        <f>AF49</f>
        <v>792.2</v>
      </c>
      <c r="AH48" s="115"/>
      <c r="AI48" s="5"/>
      <c r="AJ48" s="537"/>
      <c r="AL48" s="409"/>
      <c r="AM48" s="113"/>
      <c r="AN48" s="114"/>
      <c r="AO48" s="324">
        <f t="shared" si="1"/>
        <v>0</v>
      </c>
      <c r="AQ48" s="545"/>
      <c r="AS48" s="112"/>
      <c r="AT48" s="113"/>
      <c r="AU48" s="114"/>
      <c r="AV48" s="324">
        <f t="shared" si="2"/>
        <v>0</v>
      </c>
      <c r="AX48" s="324"/>
      <c r="AZ48" s="112"/>
      <c r="BA48" s="113"/>
      <c r="BB48" s="114"/>
      <c r="BC48" s="324"/>
      <c r="BE48" s="324"/>
      <c r="BG48" s="112"/>
      <c r="BH48" s="113"/>
      <c r="BI48" s="114"/>
      <c r="BJ48" s="324"/>
      <c r="BL48" s="324"/>
    </row>
    <row r="49" spans="1:64" ht="20.149999999999999" customHeight="1" collapsed="1" thickTop="1" thickBot="1">
      <c r="A49" s="32" t="s">
        <v>212</v>
      </c>
      <c r="B49" s="33" t="s">
        <v>213</v>
      </c>
      <c r="C49" s="119">
        <v>134.4</v>
      </c>
      <c r="D49" s="118">
        <v>700.7</v>
      </c>
      <c r="E49" s="120">
        <v>471.6</v>
      </c>
      <c r="F49" s="121">
        <v>374.3</v>
      </c>
      <c r="H49" s="328">
        <v>374.3</v>
      </c>
      <c r="J49" s="119">
        <v>209.7</v>
      </c>
      <c r="K49" s="118">
        <v>512.79999999999995</v>
      </c>
      <c r="L49" s="120">
        <v>466.4</v>
      </c>
      <c r="M49" s="121">
        <f>O49</f>
        <v>542.6</v>
      </c>
      <c r="O49" s="227">
        <v>542.6</v>
      </c>
      <c r="P49" s="5"/>
      <c r="Q49" s="119">
        <v>224.6</v>
      </c>
      <c r="R49" s="118">
        <v>280.29999999999995</v>
      </c>
      <c r="S49" s="120">
        <v>421.4</v>
      </c>
      <c r="T49" s="121" t="s">
        <v>92</v>
      </c>
      <c r="V49" s="220">
        <v>458.7</v>
      </c>
      <c r="X49" s="119">
        <v>188.9</v>
      </c>
      <c r="Y49" s="118">
        <v>389.70000000000016</v>
      </c>
      <c r="Z49" s="120">
        <v>445.2</v>
      </c>
      <c r="AA49" s="121">
        <f>AC49</f>
        <v>458.7</v>
      </c>
      <c r="AC49" s="328">
        <v>458.7</v>
      </c>
      <c r="AD49" s="5"/>
      <c r="AE49" s="119">
        <v>304.5</v>
      </c>
      <c r="AF49" s="118">
        <v>792.2</v>
      </c>
      <c r="AG49" s="120">
        <v>883.4</v>
      </c>
      <c r="AH49" s="538">
        <f>AJ49</f>
        <v>941.1</v>
      </c>
      <c r="AI49" s="5"/>
      <c r="AJ49" s="539">
        <v>941.1</v>
      </c>
      <c r="AL49" s="410">
        <v>493.8</v>
      </c>
      <c r="AM49" s="118">
        <v>710.1</v>
      </c>
      <c r="AN49" s="120">
        <v>475.6</v>
      </c>
      <c r="AO49" s="328">
        <f>AQ49</f>
        <v>395.4</v>
      </c>
      <c r="AQ49" s="546">
        <v>395.4</v>
      </c>
      <c r="AS49" s="119">
        <v>394.4</v>
      </c>
      <c r="AT49" s="118">
        <v>423.1</v>
      </c>
      <c r="AU49" s="120">
        <v>570.29999999999995</v>
      </c>
      <c r="AV49" s="328">
        <f>AX49</f>
        <v>266.5</v>
      </c>
      <c r="AX49" s="328">
        <v>266.5</v>
      </c>
      <c r="AZ49" s="119">
        <v>395.5</v>
      </c>
      <c r="BA49" s="118">
        <v>343.4</v>
      </c>
      <c r="BB49" s="120">
        <v>686.4</v>
      </c>
      <c r="BC49" s="328">
        <v>461.2</v>
      </c>
      <c r="BE49" s="328">
        <v>461.2</v>
      </c>
      <c r="BG49" s="119">
        <v>450.4</v>
      </c>
      <c r="BH49" s="118"/>
      <c r="BI49" s="120"/>
      <c r="BJ49" s="328"/>
      <c r="BL49" s="328"/>
    </row>
    <row r="50" spans="1:64">
      <c r="P50" s="5"/>
      <c r="AD50" s="5"/>
    </row>
    <row r="51" spans="1:64">
      <c r="D51" s="4"/>
      <c r="E51" s="4"/>
      <c r="F51" s="4"/>
      <c r="P51" s="5"/>
      <c r="AD51" s="5"/>
      <c r="AT51" s="563"/>
      <c r="AZ51" s="563"/>
      <c r="BG51" s="563"/>
    </row>
    <row r="52" spans="1:64">
      <c r="D52" s="4"/>
      <c r="E52" s="4"/>
      <c r="F52" s="4"/>
    </row>
    <row r="53" spans="1:64">
      <c r="D53" s="4"/>
      <c r="E53" s="4"/>
      <c r="F53" s="4"/>
    </row>
    <row r="54" spans="1:64">
      <c r="D54" s="4"/>
      <c r="E54" s="4"/>
      <c r="F54" s="4"/>
      <c r="AT54" s="563"/>
    </row>
    <row r="55" spans="1:64">
      <c r="D55" s="4"/>
      <c r="E55" s="4"/>
      <c r="F55" s="4"/>
    </row>
    <row r="56" spans="1:64">
      <c r="D56" s="4"/>
      <c r="E56" s="4"/>
      <c r="F56" s="4"/>
    </row>
    <row r="57" spans="1:64">
      <c r="D57" s="4"/>
      <c r="E57" s="4"/>
      <c r="F57" s="4"/>
    </row>
    <row r="58" spans="1:64">
      <c r="D58" s="4"/>
      <c r="E58" s="4"/>
      <c r="F58" s="4"/>
    </row>
    <row r="59" spans="1:64">
      <c r="D59" s="4"/>
      <c r="E59" s="4"/>
      <c r="F59" s="4"/>
    </row>
    <row r="60" spans="1:64">
      <c r="D60" s="4"/>
      <c r="E60" s="4"/>
      <c r="F60" s="4"/>
    </row>
    <row r="61" spans="1:64">
      <c r="D61" s="4"/>
      <c r="E61" s="4"/>
      <c r="F61" s="4"/>
    </row>
    <row r="62" spans="1:64">
      <c r="D62" s="4"/>
      <c r="E62" s="4"/>
      <c r="F62" s="4"/>
    </row>
    <row r="63" spans="1:64">
      <c r="D63" s="4"/>
      <c r="E63" s="4"/>
      <c r="F63" s="4"/>
    </row>
    <row r="64" spans="1:64">
      <c r="D64" s="4"/>
      <c r="E64" s="4"/>
      <c r="F64" s="4"/>
    </row>
    <row r="65" spans="4:6">
      <c r="D65" s="4"/>
      <c r="E65" s="4"/>
      <c r="F65" s="4"/>
    </row>
    <row r="66" spans="4:6">
      <c r="D66" s="4"/>
      <c r="E66" s="4"/>
      <c r="F66" s="4"/>
    </row>
    <row r="67" spans="4:6">
      <c r="D67" s="4"/>
      <c r="E67" s="4"/>
      <c r="F67" s="4"/>
    </row>
    <row r="68" spans="4:6">
      <c r="D68" s="4"/>
      <c r="E68" s="4"/>
      <c r="F68" s="4"/>
    </row>
    <row r="69" spans="4:6">
      <c r="D69" s="4"/>
      <c r="E69" s="4"/>
      <c r="F69" s="4"/>
    </row>
    <row r="70" spans="4:6">
      <c r="D70" s="4"/>
      <c r="E70" s="4"/>
      <c r="F70" s="4"/>
    </row>
    <row r="71" spans="4:6">
      <c r="D71" s="4"/>
      <c r="E71" s="4"/>
      <c r="F71" s="4"/>
    </row>
    <row r="72" spans="4:6">
      <c r="D72" s="4"/>
      <c r="E72" s="4"/>
      <c r="F72" s="4"/>
    </row>
    <row r="73" spans="4:6">
      <c r="D73" s="4"/>
      <c r="E73" s="4"/>
      <c r="F73" s="4"/>
    </row>
    <row r="74" spans="4:6">
      <c r="D74" s="4"/>
      <c r="E74" s="4"/>
      <c r="F74" s="4"/>
    </row>
    <row r="75" spans="4:6">
      <c r="D75" s="4"/>
      <c r="E75" s="4"/>
      <c r="F75" s="4"/>
    </row>
    <row r="76" spans="4:6">
      <c r="D76" s="4"/>
      <c r="E76" s="4"/>
      <c r="F76" s="4"/>
    </row>
    <row r="77" spans="4:6">
      <c r="D77" s="4"/>
      <c r="E77" s="4"/>
      <c r="F77" s="4"/>
    </row>
    <row r="78" spans="4:6">
      <c r="D78" s="4"/>
      <c r="E78" s="4"/>
      <c r="F78" s="4"/>
    </row>
    <row r="79" spans="4:6">
      <c r="D79" s="4"/>
      <c r="E79" s="4"/>
      <c r="F79" s="4"/>
    </row>
    <row r="80" spans="4:6">
      <c r="D80" s="4"/>
      <c r="E80" s="4"/>
      <c r="F80" s="4"/>
    </row>
    <row r="81" spans="4:6">
      <c r="D81" s="4"/>
      <c r="E81" s="4"/>
      <c r="F81" s="4"/>
    </row>
  </sheetData>
  <conditionalFormatting sqref="B50">
    <cfRule type="cellIs" dxfId="0" priority="1" operator="equal">
      <formula>"ok"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9" ma:contentTypeDescription="Utwórz nowy dokument." ma:contentTypeScope="" ma:versionID="e56f51a738fe2481522092ef4ded1790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b1e7edcc444bd5e06e45b27631b938db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f3a2f0e-1c4d-4f98-bffd-727e2c5db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d45ff0-6c69-4c87-9443-d118f7355e40}" ma:internalName="TaxCatchAll" ma:showField="CatchAllData" ma:web="e95dc2a8-55ef-4bde-ab77-77cf0b131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5dc2a8-55ef-4bde-ab77-77cf0b131919">
      <UserInfo>
        <DisplayName>Wojciech Latocha</DisplayName>
        <AccountId>7</AccountId>
        <AccountType/>
      </UserInfo>
    </SharedWithUsers>
    <lcf76f155ced4ddcb4097134ff3c332f xmlns="5f0d1ff7-f49c-434e-b970-5d4592be097b">
      <Terms xmlns="http://schemas.microsoft.com/office/infopath/2007/PartnerControls"/>
    </lcf76f155ced4ddcb4097134ff3c332f>
    <TaxCatchAll xmlns="e95dc2a8-55ef-4bde-ab77-77cf0b131919" xsi:nil="true"/>
  </documentManagement>
</p:properties>
</file>

<file path=customXml/itemProps1.xml><?xml version="1.0" encoding="utf-8"?>
<ds:datastoreItem xmlns:ds="http://schemas.openxmlformats.org/officeDocument/2006/customXml" ds:itemID="{14715BA5-291F-4419-9D98-47EC9B090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D2764B-4F16-4ECC-809F-5FA383000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4709A5-F164-45BD-8F94-94231CDB87A7}">
  <ds:schemaRefs>
    <ds:schemaRef ds:uri="http://schemas.microsoft.com/office/2006/metadata/properties"/>
    <ds:schemaRef ds:uri="http://schemas.microsoft.com/office/infopath/2007/PartnerControls"/>
    <ds:schemaRef ds:uri="e95dc2a8-55ef-4bde-ab77-77cf0b131919"/>
    <ds:schemaRef ds:uri="5f0d1ff7-f49c-434e-b970-5d4592be09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Okładka | Cover</vt:lpstr>
      <vt:lpstr>Rozwój | Development</vt:lpstr>
      <vt:lpstr>RZiS | P&amp;L</vt:lpstr>
      <vt:lpstr>Segmenty | Segments</vt:lpstr>
      <vt:lpstr>Bilans | Balance sheet</vt:lpstr>
      <vt:lpstr>Przepływy finansowe | 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2025-06-12T13:13:20Z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  <property fmtid="{D5CDD505-2E9C-101B-9397-08002B2CF9AE}" pid="3" name="MediaServiceImageTags">
    <vt:lpwstr/>
  </property>
</Properties>
</file>